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2.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updateLinks="never"/>
  <mc:AlternateContent xmlns:mc="http://schemas.openxmlformats.org/markup-compatibility/2006">
    <mc:Choice Requires="x15">
      <x15ac:absPath xmlns:x15ac="http://schemas.microsoft.com/office/spreadsheetml/2010/11/ac" url="https://ifeu2.sharepoint.com/sites/DBUBeschaffungBerlin/Freigegebene Dokumente/General/Folgeprojekt/03_Arbeitsdokumente/B2 - LZK-Rechner LNF/"/>
    </mc:Choice>
  </mc:AlternateContent>
  <xr:revisionPtr revIDLastSave="19" documentId="8_{7D517AF7-4619-43FA-847D-E38F8B66F015}" xr6:coauthVersionLast="36" xr6:coauthVersionMax="36" xr10:uidLastSave="{D064AF6B-52D0-415E-91D1-C2CBEDC80345}"/>
  <bookViews>
    <workbookView xWindow="0" yWindow="0" windowWidth="23040" windowHeight="8940" tabRatio="887" activeTab="2" xr2:uid="{00000000-000D-0000-FFFF-FFFF00000000}"/>
  </bookViews>
  <sheets>
    <sheet name="Anleitung" sheetId="27" r:id="rId1"/>
    <sheet name="Input_Beschaffung" sheetId="12" r:id="rId2"/>
    <sheet name="Eingabe_Angebotswerte" sheetId="19" r:id="rId3"/>
    <sheet name="Ergebnisse_LZK" sheetId="5" r:id="rId4"/>
    <sheet name="Ergebnisse_Umweltkosten" sheetId="23" r:id="rId5"/>
    <sheet name="Grunddaten" sheetId="24" r:id="rId6"/>
    <sheet name="Erg.Fzg._1" sheetId="11" r:id="rId7"/>
    <sheet name="Erg.Fzg._2" sheetId="10" r:id="rId8"/>
    <sheet name="Erg.Fzg._3" sheetId="9" r:id="rId9"/>
    <sheet name="Erg.Fzg._4" sheetId="8" r:id="rId10"/>
    <sheet name="Erg.Fzg._5" sheetId="7" r:id="rId11"/>
    <sheet name="Emissionsfaktoren" sheetId="18" r:id="rId12"/>
    <sheet name="Doku" sheetId="26" r:id="rId13"/>
    <sheet name="Listen" sheetId="17" state="hidden" r:id="rId14"/>
    <sheet name="Quellen" sheetId="22" r:id="rId15"/>
  </sheets>
  <definedNames>
    <definedName name="Anbieter1">Eingabe_Angebotswerte!$E$9</definedName>
    <definedName name="Anbieter2">Eingabe_Angebotswerte!$F$9</definedName>
    <definedName name="Anbieter3">Eingabe_Angebotswerte!$G$9</definedName>
    <definedName name="Anbieter4">Eingabe_Angebotswerte!$H$9</definedName>
    <definedName name="Anbieter5">Eingabe_Angebotswerte!$I$9</definedName>
    <definedName name="Anschaffungsjahr">Input_Beschaffung!$C$20</definedName>
    <definedName name="AntrArtList">Listen!$B$12:$B$14</definedName>
    <definedName name="Antriebsart1">Eingabe_Angebotswerte!$E$7</definedName>
    <definedName name="Antriebsart2">Eingabe_Angebotswerte!$F$7</definedName>
    <definedName name="Antriebsart3">Eingabe_Angebotswerte!$G$7</definedName>
    <definedName name="Antriebsart4">Eingabe_Angebotswerte!$H$7</definedName>
    <definedName name="Antriebsart5">Eingabe_Angebotswerte!$I$7</definedName>
    <definedName name="Batterie_THG">Grunddaten!$I$53</definedName>
    <definedName name="Batterie1">Eingabe_Angebotswerte!$E$22</definedName>
    <definedName name="Batterie2">Eingabe_Angebotswerte!$F$22</definedName>
    <definedName name="Batterie3">Eingabe_Angebotswerte!$G$22</definedName>
    <definedName name="Batterie4">Eingabe_Angebotswerte!$H$22</definedName>
    <definedName name="Batterie5">Eingabe_Angebotswerte!$I$22</definedName>
    <definedName name="CO2_1">Eingabe_Angebotswerte!$E$18</definedName>
    <definedName name="CO2_2">Eingabe_Angebotswerte!$F$18</definedName>
    <definedName name="CO2_3">Eingabe_Angebotswerte!$G$18</definedName>
    <definedName name="CO2_4">Eingabe_Angebotswerte!$H$18</definedName>
    <definedName name="CO2_5">Eingabe_Angebotswerte!$I$18</definedName>
    <definedName name="CO2List">Emissionsfaktoren!$B$23:$D$26</definedName>
    <definedName name="Datum">Input_Beschaffung!$C$11</definedName>
    <definedName name="_xlnm.Print_Area" localSheetId="12">Doku!$B$2:$P$41</definedName>
    <definedName name="_xlnm.Print_Area" localSheetId="6">Erg.Fzg._1!$A$2:$D$66</definedName>
    <definedName name="_xlnm.Print_Area" localSheetId="7">Erg.Fzg._2!$A$2:$D$66</definedName>
    <definedName name="_xlnm.Print_Area" localSheetId="3">Ergebnisse_LZK!$B$2:$H$36</definedName>
    <definedName name="_xlnm.Print_Area" localSheetId="4">Ergebnisse_Umweltkosten!$B$2:$H$31</definedName>
    <definedName name="_xlnm.Print_Area" localSheetId="14">Quellen!$B$2:$C$26</definedName>
    <definedName name="EnEinheitList">Listen!$B$24:$D$27</definedName>
    <definedName name="Energie1">Eingabe_Angebotswerte!$E$8</definedName>
    <definedName name="Energie2">Eingabe_Angebotswerte!$F$8</definedName>
    <definedName name="Energie3">Eingabe_Angebotswerte!$G$8</definedName>
    <definedName name="Energie4">Eingabe_Angebotswerte!$H$8</definedName>
    <definedName name="Energie5">Eingabe_Angebotswerte!$I$8</definedName>
    <definedName name="EnKostList">Grunddaten!$B$35:$I$40</definedName>
    <definedName name="EnList1">Erg.Fzg._1!$F$5:$F$8</definedName>
    <definedName name="EnList2">Erg.Fzg._2!$F$5:$F$8</definedName>
    <definedName name="EnList3">Erg.Fzg._3!$F$5:$F$8</definedName>
    <definedName name="EnList4">Erg.Fzg._4!$F$5:$F$8</definedName>
    <definedName name="EnList5">Erg.Fzg._5!$F$5:$F$8</definedName>
    <definedName name="EnUmrechList">Emissionsfaktoren!$B$15:$E$17</definedName>
    <definedName name="Fahrleistung">Input_Beschaffung!$C$16</definedName>
    <definedName name="Fahrzeugklasse1">Eingabe_Angebotswerte!$E$13</definedName>
    <definedName name="Fahrzeugklasse2">Eingabe_Angebotswerte!$F$13</definedName>
    <definedName name="Fahrzeugklasse3">Eingabe_Angebotswerte!$G$13</definedName>
    <definedName name="Fahrzeugklasse4">Eingabe_Angebotswerte!$H$13</definedName>
    <definedName name="Fahrzeugklasse5">Eingabe_Angebotswerte!$I$13</definedName>
    <definedName name="FinArt">Input_Beschaffung!$C$18</definedName>
    <definedName name="FinArtList">Listen!$B$3:$D$5</definedName>
    <definedName name="Gesamtpreis1">Eingabe_Angebotswerte!$E$14</definedName>
    <definedName name="Gesamtpreis2">Eingabe_Angebotswerte!$F$14</definedName>
    <definedName name="Gesamtpreis3">Eingabe_Angebotswerte!$G$14</definedName>
    <definedName name="Gesamtpreis4">Eingabe_Angebotswerte!$H$14</definedName>
    <definedName name="Gesamtpreis5">Eingabe_Angebotswerte!$I$14</definedName>
    <definedName name="Haltedauer">Input_Beschaffung!$C$22</definedName>
    <definedName name="Hersteller1">Eingabe_Angebotswerte!$E$10</definedName>
    <definedName name="Hersteller2">Eingabe_Angebotswerte!$F$10</definedName>
    <definedName name="Hersteller3">Eingabe_Angebotswerte!$G$10</definedName>
    <definedName name="Hersteller4">Eingabe_Angebotswerte!$H$10</definedName>
    <definedName name="Hersteller5">Eingabe_Angebotswerte!$I$10</definedName>
    <definedName name="KaufpreisRech">Input_Beschaffung!$C$24</definedName>
    <definedName name="KaufpreisRechList">Listen!$B$8:$B$9</definedName>
    <definedName name="Kost_NOX">Grunddaten!$I$48</definedName>
    <definedName name="Kost_Partikel">Grunddaten!$I$49</definedName>
    <definedName name="Kost_THG">Grunddaten!$I$46</definedName>
    <definedName name="KostTHGList">Listen!$B$46:$B$47</definedName>
    <definedName name="KostTHGVorgabe">Input_Beschaffung!$C$27</definedName>
    <definedName name="Laderaum">Input_Beschaffung!$C$13</definedName>
    <definedName name="LeasSondZahl1">Eingabe_Angebotswerte!$E$15</definedName>
    <definedName name="LeasSondZahl2">Eingabe_Angebotswerte!$F$15</definedName>
    <definedName name="LeasSondZahl3">Eingabe_Angebotswerte!$G$15</definedName>
    <definedName name="LeasSondZahl4">Eingabe_Angebotswerte!$H$15</definedName>
    <definedName name="LeasSondZahl5">Eingabe_Angebotswerte!$I$15</definedName>
    <definedName name="max_Verbrauch_PHEV_kWh">Grunddaten!$I$19</definedName>
    <definedName name="max_Verbrauch_PHEV_l">Grunddaten!$I$18</definedName>
    <definedName name="max_Verbrauch_Verbrenner">Grunddaten!$I$17</definedName>
    <definedName name="maxCO2_1000kg">Grunddaten!$I$9</definedName>
    <definedName name="maxCO2_1300kg">Grunddaten!$I$10</definedName>
    <definedName name="maxCO2_700kg">Grunddaten!$I$8</definedName>
    <definedName name="maxCO2_größer1300kg">Grunddaten!$I$11</definedName>
    <definedName name="maxCO2_Laderaum">Grunddaten!$I$7</definedName>
    <definedName name="maxCO2PHEV">Grunddaten!$I$12</definedName>
    <definedName name="maxkWh_1000kg">Grunddaten!$I$15</definedName>
    <definedName name="maxkWh_700kg">Grunddaten!$I$14</definedName>
    <definedName name="maxkWh_größer1000kg">Grunddaten!$I$16</definedName>
    <definedName name="maxkWh_Laderaum">Grunddaten!$I$13</definedName>
    <definedName name="maxNOX_N1I">Grunddaten!$I$21</definedName>
    <definedName name="maxNOX_N1II">Grunddaten!$I$22</definedName>
    <definedName name="maxNOX_N1III">Grunddaten!$I$23</definedName>
    <definedName name="maxPM">Grunddaten!$I$24</definedName>
    <definedName name="minReichwPHEV">Grunddaten!$I$25</definedName>
    <definedName name="Modell1">Eingabe_Angebotswerte!$E$11</definedName>
    <definedName name="Modell2">Eingabe_Angebotswerte!$F$11</definedName>
    <definedName name="Modell3">Eingabe_Angebotswerte!$G$11</definedName>
    <definedName name="Modell4">Eingabe_Angebotswerte!$H$11</definedName>
    <definedName name="Modell5">Eingabe_Angebotswerte!$I$11</definedName>
    <definedName name="N1I">Listen!$B$41</definedName>
    <definedName name="N1II">Listen!$B$42</definedName>
    <definedName name="N1III">Listen!$B$43</definedName>
    <definedName name="NOX_1">Eingabe_Angebotswerte!$E$19</definedName>
    <definedName name="NOX_2">Eingabe_Angebotswerte!$F$19</definedName>
    <definedName name="NOX_3">Eingabe_Angebotswerte!$G$19</definedName>
    <definedName name="NOX_4">Eingabe_Angebotswerte!$H$19</definedName>
    <definedName name="NOX_5">Eingabe_Angebotswerte!$I$19</definedName>
    <definedName name="Partikel1">Eingabe_Angebotswerte!$E$20</definedName>
    <definedName name="Partikel2">Eingabe_Angebotswerte!$F$20</definedName>
    <definedName name="Partikel3">Eingabe_Angebotswerte!$G$20</definedName>
    <definedName name="Partikel4">Eingabe_Angebotswerte!$H$20</definedName>
    <definedName name="Partikel5">Eingabe_Angebotswerte!$I$20</definedName>
    <definedName name="Projektname">Input_Beschaffung!$C$6</definedName>
    <definedName name="ReichwPHEV1">Eingabe_Angebotswerte!$E$21</definedName>
    <definedName name="ReichwPHEV2">Eingabe_Angebotswerte!$F$21</definedName>
    <definedName name="ReichwPHEV3">Eingabe_Angebotswerte!$G$21</definedName>
    <definedName name="ReichwPHEV4">Eingabe_Angebotswerte!$H$21</definedName>
    <definedName name="ReichwPHEV5">Eingabe_Angebotswerte!$I$21</definedName>
    <definedName name="Unternehmen">Input_Beschaffung!$C$9</definedName>
    <definedName name="VerbEl_WLTP1">Eingabe_Angebotswerte!$E$17</definedName>
    <definedName name="VerbEl_WLTP2">Eingabe_Angebotswerte!$F$17</definedName>
    <definedName name="VerbEl_WLTP3">Eingabe_Angebotswerte!$G$17</definedName>
    <definedName name="VerbEl_WLTP4">Eingabe_Angebotswerte!$H$17</definedName>
    <definedName name="VerbEl_WLTP5">Eingabe_Angebotswerte!$I$17</definedName>
    <definedName name="VerbElPHEV1">Erg.Fzg._1!$C$23</definedName>
    <definedName name="VerbElPHEV2">Erg.Fzg._2!$C$23</definedName>
    <definedName name="VerbElPHEV3">Erg.Fzg._3!$C$23</definedName>
    <definedName name="VerbElPHEV4">Erg.Fzg._4!$C$23</definedName>
    <definedName name="VerbElPHEV5">Erg.Fzg._5!$C$23</definedName>
    <definedName name="VerbPHEV1">Erg.Fzg._1!$C$22</definedName>
    <definedName name="VerbPHEV2">Erg.Fzg._2!$C$22</definedName>
    <definedName name="VerbPHEV3">Erg.Fzg._3!$C$22</definedName>
    <definedName name="VerbPHEV4">Erg.Fzg._4!$C$22</definedName>
    <definedName name="VerbPHEV5">Erg.Fzg._5!$C$22</definedName>
    <definedName name="Verbrauch1">Eingabe_Angebotswerte!$E$16</definedName>
    <definedName name="Verbrauch2">Eingabe_Angebotswerte!$F$16</definedName>
    <definedName name="Verbrauch3">Eingabe_Angebotswerte!$G$16</definedName>
    <definedName name="Verbrauch4">Eingabe_Angebotswerte!$H$16</definedName>
    <definedName name="Verbrauch5">Eingabe_Angebotswerte!$I$16</definedName>
    <definedName name="Zuladung">Input_Beschaffung!$C$14</definedName>
    <definedName name="Zusatzangabe_x">Eingabe_Angebotswerte!$C$25</definedName>
    <definedName name="Zusatzangabe_x1">Eingabe_Angebotswerte!$E$25</definedName>
    <definedName name="Zusatzangabe_x2">Eingabe_Angebotswerte!$F$25</definedName>
    <definedName name="Zusatzangabe_x3">Eingabe_Angebotswerte!$G$25</definedName>
    <definedName name="Zusatzangabe_x4">Eingabe_Angebotswerte!$H$25</definedName>
    <definedName name="Zusatzangabe_x5">Eingabe_Angebotswerte!$I$25</definedName>
    <definedName name="Zusatzangabe_y">Eingabe_Angebotswerte!$C$26</definedName>
    <definedName name="Zusatzangabe_y1">Eingabe_Angebotswerte!$E$26</definedName>
    <definedName name="Zusatzangabe_y2">Eingabe_Angebotswerte!$F$26</definedName>
    <definedName name="Zusatzangabe_y3">Eingabe_Angebotswerte!$G$26</definedName>
    <definedName name="Zusatzangabe_y4">Eingabe_Angebotswerte!$H$26</definedName>
    <definedName name="Zusatzangabe_y5">Eingabe_Angebotswerte!$I$26</definedName>
    <definedName name="Zusatzangabe_z">Eingabe_Angebotswerte!$C$27</definedName>
    <definedName name="Zusatzangabe_z1">Eingabe_Angebotswerte!$E$27</definedName>
    <definedName name="Zusatzangabe_z2">Eingabe_Angebotswerte!$F$27</definedName>
    <definedName name="Zusatzangabe_z3">Eingabe_Angebotswerte!$G$27</definedName>
    <definedName name="Zusatzangabe_z4">Eingabe_Angebotswerte!$H$27</definedName>
    <definedName name="Zusatzangabe_z5">Eingabe_Angebotswerte!$I$27</definedName>
    <definedName name="Zusatzinfo1">Eingabe_Angebotswerte!$E$12</definedName>
    <definedName name="Zusatzinfo2">Eingabe_Angebotswerte!$F$12</definedName>
    <definedName name="Zusatzinfo3">Eingabe_Angebotswerte!$G$12</definedName>
    <definedName name="Zusatzinfo4">Eingabe_Angebotswerte!$H$12</definedName>
    <definedName name="Zusatzinfo5">Eingabe_Angebotswerte!$I$12</definedName>
    <definedName name="Zustaendig">Input_Beschaffung!$C$10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9" l="1"/>
  <c r="C6" i="23" l="1"/>
  <c r="C6" i="5"/>
  <c r="C29" i="7" l="1"/>
  <c r="C28" i="7"/>
  <c r="C29" i="8"/>
  <c r="C28" i="8"/>
  <c r="C29" i="9"/>
  <c r="C28" i="9"/>
  <c r="C29" i="10"/>
  <c r="C28" i="10"/>
  <c r="C29" i="11"/>
  <c r="C28" i="11"/>
  <c r="I23" i="19"/>
  <c r="G23" i="19"/>
  <c r="F23" i="19"/>
  <c r="E28" i="19"/>
  <c r="I22" i="24" l="1"/>
  <c r="I23" i="24"/>
  <c r="I15" i="24"/>
  <c r="I16" i="24"/>
  <c r="I9" i="24"/>
  <c r="I10" i="24"/>
  <c r="I11" i="24"/>
  <c r="I19" i="24" l="1"/>
  <c r="I18" i="24"/>
  <c r="I17" i="24"/>
  <c r="I14" i="24"/>
  <c r="D23" i="18" l="1"/>
  <c r="C62" i="7" l="1"/>
  <c r="H26" i="5" s="1"/>
  <c r="C61" i="7"/>
  <c r="H25" i="5" s="1"/>
  <c r="C60" i="7"/>
  <c r="D62" i="7"/>
  <c r="B62" i="7"/>
  <c r="D61" i="7"/>
  <c r="B61" i="7"/>
  <c r="D60" i="7"/>
  <c r="B60" i="7"/>
  <c r="C62" i="8"/>
  <c r="G26" i="5" s="1"/>
  <c r="C61" i="8"/>
  <c r="G25" i="5" s="1"/>
  <c r="C60" i="8"/>
  <c r="G24" i="5" s="1"/>
  <c r="D62" i="8"/>
  <c r="B62" i="8"/>
  <c r="D61" i="8"/>
  <c r="B61" i="8"/>
  <c r="D60" i="8"/>
  <c r="B60" i="8"/>
  <c r="C62" i="9"/>
  <c r="F26" i="5" s="1"/>
  <c r="C61" i="9"/>
  <c r="F25" i="5" s="1"/>
  <c r="C60" i="9"/>
  <c r="F24" i="5" s="1"/>
  <c r="D62" i="9"/>
  <c r="B62" i="9"/>
  <c r="D61" i="9"/>
  <c r="B61" i="9"/>
  <c r="D60" i="9"/>
  <c r="B60" i="9"/>
  <c r="C62" i="10"/>
  <c r="E26" i="5" s="1"/>
  <c r="C61" i="10"/>
  <c r="E25" i="5" s="1"/>
  <c r="C60" i="10"/>
  <c r="E24" i="5" s="1"/>
  <c r="D62" i="10"/>
  <c r="B62" i="10"/>
  <c r="D61" i="10"/>
  <c r="B61" i="10"/>
  <c r="D60" i="10"/>
  <c r="B60" i="10"/>
  <c r="C62" i="11"/>
  <c r="D26" i="5" s="1"/>
  <c r="C61" i="11"/>
  <c r="D25" i="5" s="1"/>
  <c r="C60" i="11"/>
  <c r="D24" i="5" s="1"/>
  <c r="D60" i="11"/>
  <c r="D61" i="11"/>
  <c r="D62" i="11"/>
  <c r="C24" i="5"/>
  <c r="C26" i="5"/>
  <c r="B26" i="5"/>
  <c r="B62" i="11"/>
  <c r="B61" i="11"/>
  <c r="C25" i="5"/>
  <c r="B25" i="5"/>
  <c r="B60" i="11"/>
  <c r="B24" i="5"/>
  <c r="H24" i="5" l="1"/>
  <c r="I25" i="24"/>
  <c r="I13" i="24"/>
  <c r="I24" i="24"/>
  <c r="I21" i="24"/>
  <c r="I12" i="24"/>
  <c r="I8" i="24"/>
  <c r="I7" i="24"/>
  <c r="D26" i="18" l="1"/>
  <c r="C26" i="18"/>
  <c r="E16" i="18"/>
  <c r="C25" i="18" s="1"/>
  <c r="E15" i="18"/>
  <c r="D24" i="18" s="1"/>
  <c r="D25" i="18" l="1"/>
  <c r="C24" i="18"/>
  <c r="F46" i="24" l="1"/>
  <c r="C14" i="19" l="1"/>
  <c r="F27" i="12" l="1"/>
  <c r="I53" i="24" l="1"/>
  <c r="F28" i="19" l="1"/>
  <c r="G28" i="19"/>
  <c r="H28" i="19"/>
  <c r="J28" i="19" s="1"/>
  <c r="I28" i="19"/>
  <c r="C33" i="9"/>
  <c r="C14" i="7" l="1"/>
  <c r="C13" i="7"/>
  <c r="C12" i="7"/>
  <c r="C11" i="7"/>
  <c r="C10" i="7"/>
  <c r="C7" i="7"/>
  <c r="C14" i="8"/>
  <c r="C13" i="8"/>
  <c r="C12" i="8"/>
  <c r="C11" i="8"/>
  <c r="C10" i="8"/>
  <c r="C7" i="8"/>
  <c r="C14" i="10"/>
  <c r="C13" i="10"/>
  <c r="C12" i="10"/>
  <c r="C11" i="10"/>
  <c r="C10" i="10"/>
  <c r="C7" i="10"/>
  <c r="C14" i="11"/>
  <c r="C13" i="11"/>
  <c r="C12" i="11"/>
  <c r="C11" i="11"/>
  <c r="C10" i="11"/>
  <c r="C7" i="11"/>
  <c r="C14" i="9"/>
  <c r="C13" i="9"/>
  <c r="C12" i="9"/>
  <c r="C11" i="9"/>
  <c r="C10" i="9"/>
  <c r="C7" i="9"/>
  <c r="I49" i="24" l="1"/>
  <c r="C36" i="11" s="1"/>
  <c r="I48" i="24"/>
  <c r="C35" i="11" s="1"/>
  <c r="I46" i="24"/>
  <c r="I40" i="24"/>
  <c r="I39" i="24"/>
  <c r="I38" i="24"/>
  <c r="I36" i="24"/>
  <c r="I35" i="24"/>
  <c r="C35" i="7" l="1"/>
  <c r="C35" i="8"/>
  <c r="C35" i="9"/>
  <c r="C35" i="10"/>
  <c r="C36" i="7"/>
  <c r="C36" i="8"/>
  <c r="C36" i="9"/>
  <c r="C36" i="10"/>
  <c r="C21" i="11"/>
  <c r="C18" i="11"/>
  <c r="C21" i="10"/>
  <c r="C18" i="10"/>
  <c r="C21" i="9"/>
  <c r="C18" i="9"/>
  <c r="C21" i="8"/>
  <c r="C18" i="8"/>
  <c r="C18" i="7"/>
  <c r="C19" i="7" s="1"/>
  <c r="C21" i="7"/>
  <c r="C32" i="9"/>
  <c r="C22" i="7" l="1"/>
  <c r="C19" i="10"/>
  <c r="C22" i="10" s="1"/>
  <c r="C33" i="10" s="1"/>
  <c r="C20" i="10"/>
  <c r="C23" i="10" s="1"/>
  <c r="C20" i="8"/>
  <c r="C23" i="8" s="1"/>
  <c r="C19" i="8"/>
  <c r="C22" i="8" s="1"/>
  <c r="C20" i="9"/>
  <c r="C23" i="9" s="1"/>
  <c r="C19" i="9"/>
  <c r="C22" i="9" s="1"/>
  <c r="C20" i="11"/>
  <c r="C23" i="11" s="1"/>
  <c r="C19" i="11"/>
  <c r="C22" i="11" s="1"/>
  <c r="C33" i="11" s="1"/>
  <c r="C20" i="7"/>
  <c r="C23" i="7" s="1"/>
  <c r="C39" i="7"/>
  <c r="F5" i="11" l="1"/>
  <c r="F6" i="11"/>
  <c r="F7" i="11"/>
  <c r="F8" i="11"/>
  <c r="C55" i="7"/>
  <c r="C55" i="8"/>
  <c r="C55" i="9"/>
  <c r="C55" i="10"/>
  <c r="C55" i="11"/>
  <c r="C32" i="7"/>
  <c r="C39" i="8"/>
  <c r="C32" i="8"/>
  <c r="C39" i="9"/>
  <c r="C39" i="10"/>
  <c r="C32" i="10"/>
  <c r="C39" i="11"/>
  <c r="C32" i="11"/>
  <c r="B19" i="5"/>
  <c r="C54" i="7"/>
  <c r="C54" i="8"/>
  <c r="C54" i="10"/>
  <c r="C54" i="9"/>
  <c r="C54" i="11"/>
  <c r="B51" i="7"/>
  <c r="B51" i="8"/>
  <c r="B51" i="9"/>
  <c r="B51" i="10"/>
  <c r="B51" i="11"/>
  <c r="C46" i="7"/>
  <c r="C47" i="7" s="1"/>
  <c r="C46" i="8"/>
  <c r="C47" i="8" s="1"/>
  <c r="C46" i="9"/>
  <c r="C46" i="10"/>
  <c r="C46" i="11"/>
  <c r="H18" i="5"/>
  <c r="G18" i="5"/>
  <c r="F18" i="5"/>
  <c r="E18" i="5"/>
  <c r="D18" i="5"/>
  <c r="F13" i="23"/>
  <c r="F12" i="23"/>
  <c r="C11" i="23"/>
  <c r="C10" i="23"/>
  <c r="C9" i="23"/>
  <c r="F8" i="7"/>
  <c r="F8" i="8"/>
  <c r="F8" i="9"/>
  <c r="F8" i="10"/>
  <c r="F7" i="7"/>
  <c r="F6" i="7"/>
  <c r="F5" i="7"/>
  <c r="F7" i="8"/>
  <c r="F6" i="8"/>
  <c r="F5" i="8"/>
  <c r="H23" i="19" s="1"/>
  <c r="F7" i="9"/>
  <c r="F6" i="9"/>
  <c r="F5" i="9"/>
  <c r="F7" i="10"/>
  <c r="F6" i="10"/>
  <c r="F5" i="10"/>
  <c r="C11" i="5"/>
  <c r="C10" i="5"/>
  <c r="C9" i="5"/>
  <c r="F13" i="5"/>
  <c r="F12" i="5"/>
  <c r="J32" i="12"/>
  <c r="I37" i="24" s="1"/>
  <c r="E23" i="19" l="1"/>
  <c r="J23" i="19" s="1"/>
  <c r="D19" i="5"/>
  <c r="C47" i="11"/>
  <c r="C65" i="11" s="1"/>
  <c r="C47" i="9"/>
  <c r="C65" i="8"/>
  <c r="G30" i="5" s="1"/>
  <c r="C48" i="8"/>
  <c r="C59" i="8" s="1"/>
  <c r="G23" i="5" s="1"/>
  <c r="C65" i="7"/>
  <c r="H25" i="23" s="1"/>
  <c r="C48" i="7"/>
  <c r="C59" i="7" s="1"/>
  <c r="H23" i="5" s="1"/>
  <c r="C40" i="10"/>
  <c r="C41" i="10" s="1"/>
  <c r="C58" i="10" s="1"/>
  <c r="C47" i="10"/>
  <c r="C30" i="8"/>
  <c r="C56" i="8" s="1"/>
  <c r="G20" i="5" s="1"/>
  <c r="C30" i="9"/>
  <c r="C56" i="9" s="1"/>
  <c r="F20" i="5" s="1"/>
  <c r="C30" i="11"/>
  <c r="C30" i="10"/>
  <c r="C56" i="10" s="1"/>
  <c r="E20" i="5" s="1"/>
  <c r="C30" i="7"/>
  <c r="C56" i="7" s="1"/>
  <c r="H20" i="5" s="1"/>
  <c r="C33" i="8"/>
  <c r="C34" i="8" s="1"/>
  <c r="C37" i="8" s="1"/>
  <c r="C57" i="8" s="1"/>
  <c r="C33" i="7"/>
  <c r="C34" i="7" s="1"/>
  <c r="C37" i="7" s="1"/>
  <c r="C57" i="7" s="1"/>
  <c r="G19" i="5"/>
  <c r="C40" i="7"/>
  <c r="C40" i="11"/>
  <c r="C66" i="11" s="1"/>
  <c r="C40" i="9"/>
  <c r="C66" i="9" s="1"/>
  <c r="F26" i="23" s="1"/>
  <c r="C40" i="8"/>
  <c r="F19" i="5"/>
  <c r="E17" i="23"/>
  <c r="E17" i="5"/>
  <c r="F17" i="5"/>
  <c r="G19" i="23"/>
  <c r="D17" i="23"/>
  <c r="F17" i="23"/>
  <c r="D19" i="23"/>
  <c r="G17" i="23"/>
  <c r="H17" i="5"/>
  <c r="D17" i="5"/>
  <c r="C33" i="12"/>
  <c r="H19" i="23"/>
  <c r="E19" i="23"/>
  <c r="G17" i="5"/>
  <c r="H17" i="23"/>
  <c r="H19" i="5"/>
  <c r="E19" i="5"/>
  <c r="C34" i="11"/>
  <c r="C37" i="11" s="1"/>
  <c r="C57" i="11" s="1"/>
  <c r="C34" i="9"/>
  <c r="C37" i="9" s="1"/>
  <c r="C57" i="9" s="1"/>
  <c r="F19" i="23"/>
  <c r="C34" i="10"/>
  <c r="C37" i="10" s="1"/>
  <c r="C57" i="10" s="1"/>
  <c r="C56" i="11" l="1"/>
  <c r="D20" i="5" s="1"/>
  <c r="G25" i="23"/>
  <c r="F21" i="5"/>
  <c r="H21" i="5"/>
  <c r="H30" i="5"/>
  <c r="C66" i="10"/>
  <c r="E26" i="23" s="1"/>
  <c r="C65" i="9"/>
  <c r="C48" i="9"/>
  <c r="C59" i="9" s="1"/>
  <c r="F23" i="5" s="1"/>
  <c r="C48" i="11"/>
  <c r="C59" i="11" s="1"/>
  <c r="D23" i="5" s="1"/>
  <c r="C65" i="10"/>
  <c r="C48" i="10"/>
  <c r="C59" i="10" s="1"/>
  <c r="E23" i="5" s="1"/>
  <c r="C66" i="8"/>
  <c r="G31" i="5" s="1"/>
  <c r="G32" i="5" s="1"/>
  <c r="F31" i="5"/>
  <c r="C41" i="9"/>
  <c r="F20" i="23" s="1"/>
  <c r="G18" i="23"/>
  <c r="C41" i="8"/>
  <c r="D18" i="23"/>
  <c r="G21" i="23"/>
  <c r="G21" i="5"/>
  <c r="H18" i="23"/>
  <c r="F18" i="23"/>
  <c r="E20" i="23"/>
  <c r="E22" i="5"/>
  <c r="H21" i="23"/>
  <c r="D21" i="5"/>
  <c r="E18" i="23"/>
  <c r="E21" i="5"/>
  <c r="C41" i="7"/>
  <c r="H22" i="5" s="1"/>
  <c r="H29" i="5" s="1"/>
  <c r="C66" i="7"/>
  <c r="C41" i="11"/>
  <c r="C63" i="10" l="1"/>
  <c r="E27" i="5"/>
  <c r="H27" i="5"/>
  <c r="D22" i="5"/>
  <c r="D27" i="5" s="1"/>
  <c r="C58" i="11"/>
  <c r="C63" i="11" s="1"/>
  <c r="D21" i="23"/>
  <c r="F21" i="23"/>
  <c r="F24" i="23" s="1"/>
  <c r="E31" i="5"/>
  <c r="E21" i="23"/>
  <c r="E22" i="23" s="1"/>
  <c r="D30" i="5"/>
  <c r="D25" i="23"/>
  <c r="F30" i="5"/>
  <c r="F32" i="5" s="1"/>
  <c r="F25" i="23"/>
  <c r="F27" i="23" s="1"/>
  <c r="E25" i="23"/>
  <c r="E27" i="23" s="1"/>
  <c r="E30" i="5"/>
  <c r="G26" i="23"/>
  <c r="G27" i="23" s="1"/>
  <c r="L8" i="19"/>
  <c r="L19" i="19"/>
  <c r="E29" i="5"/>
  <c r="C58" i="8"/>
  <c r="C63" i="8" s="1"/>
  <c r="G22" i="5"/>
  <c r="G29" i="5" s="1"/>
  <c r="F22" i="5"/>
  <c r="C58" i="9"/>
  <c r="C63" i="9" s="1"/>
  <c r="G20" i="23"/>
  <c r="G24" i="23" s="1"/>
  <c r="D31" i="5"/>
  <c r="D26" i="23"/>
  <c r="H26" i="23"/>
  <c r="H27" i="23" s="1"/>
  <c r="H31" i="5"/>
  <c r="H32" i="5" s="1"/>
  <c r="D20" i="23"/>
  <c r="H20" i="23"/>
  <c r="H22" i="23" s="1"/>
  <c r="C58" i="7"/>
  <c r="C63" i="7" s="1"/>
  <c r="D24" i="23" l="1"/>
  <c r="D29" i="5"/>
  <c r="G27" i="5"/>
  <c r="F29" i="5"/>
  <c r="F27" i="5"/>
  <c r="D27" i="23"/>
  <c r="D32" i="5"/>
  <c r="E32" i="5"/>
  <c r="E24" i="23"/>
  <c r="F22" i="23"/>
  <c r="H24" i="23"/>
  <c r="G22" i="23"/>
  <c r="D22" i="23"/>
  <c r="I24" i="23" l="1"/>
  <c r="D2" i="23" s="1"/>
  <c r="I29" i="5"/>
  <c r="D2" i="5" s="1"/>
  <c r="H23" i="23"/>
  <c r="G31" i="23" s="1"/>
  <c r="F23" i="23"/>
  <c r="D31" i="23" s="1"/>
  <c r="G23" i="23"/>
  <c r="F31" i="23" s="1"/>
  <c r="E23" i="23"/>
  <c r="C31" i="23" s="1"/>
  <c r="D23" i="23"/>
  <c r="B31" i="23" s="1"/>
  <c r="E28" i="5"/>
  <c r="G28" i="5"/>
  <c r="F36" i="5" s="1"/>
  <c r="D28" i="5"/>
  <c r="F28" i="5"/>
  <c r="D36" i="5" s="1"/>
  <c r="H28" i="5"/>
  <c r="C36" i="5" l="1"/>
  <c r="B36" i="5"/>
  <c r="G3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43" authorId="0" shapeId="0" xr:uid="{00000000-0006-0000-0000-000001000000}">
      <text>
        <r>
          <rPr>
            <sz val="9"/>
            <color indexed="81"/>
            <rFont val="Segoe UI"/>
            <family val="2"/>
          </rPr>
          <t>Dies ist ein Beispielkommentar.
In dieser Art werden einzelne Zellen erklärt oder auch Quellenangaben gemacht.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900-000001000000}">
      <text>
        <r>
          <rPr>
            <sz val="9"/>
            <color indexed="81"/>
            <rFont val="Segoe UI"/>
            <family val="2"/>
          </rPr>
          <t>Quellen zur Berechnung:
T&amp;E (2022), Plötz und Jöhrens (2021)</t>
        </r>
      </text>
    </comment>
    <comment ref="A46" authorId="0" shapeId="0" xr:uid="{6F3043FA-25D6-48A1-80D1-162DCA9D786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762180E-7EDA-4283-83E8-E5DE42209368}">
      <text>
        <r>
          <rPr>
            <sz val="9"/>
            <color indexed="81"/>
            <rFont val="Segoe UI"/>
            <family val="2"/>
          </rPr>
          <t>Wertminderung auf Basis der Fahrzeug-Restwertberechnung nach Quelle BEUC (2016)</t>
        </r>
      </text>
    </comment>
    <comment ref="A60" authorId="0" shapeId="0" xr:uid="{F06A4664-ADF9-486D-864A-49D8073D55EA}">
      <text>
        <r>
          <rPr>
            <sz val="9"/>
            <color indexed="81"/>
            <rFont val="Segoe UI"/>
            <family val="2"/>
          </rPr>
          <t>Hier werden ggf. weitere Kostenangaben verrechnet, sofern hierzu Angaben im Tabellenblatt "Eingabe_Angebotswerte" eingetragen wurden.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A00-000001000000}">
      <text>
        <r>
          <rPr>
            <sz val="9"/>
            <color indexed="81"/>
            <rFont val="Segoe UI"/>
            <family val="2"/>
          </rPr>
          <t>Quellen zur Berechnung:
T&amp;E (2022), Plötz und Jöhrens (2021)</t>
        </r>
      </text>
    </comment>
    <comment ref="A46" authorId="0" shapeId="0" xr:uid="{DD9765C6-F085-4665-BCD0-CFECF72BF84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98D1EA3-3D32-44F3-89D9-9D606F48700C}">
      <text>
        <r>
          <rPr>
            <sz val="9"/>
            <color indexed="81"/>
            <rFont val="Segoe UI"/>
            <family val="2"/>
          </rPr>
          <t>Wertminderung auf Basis der Fahrzeug-Restwertberechnung nach Quelle BEUC (2016)</t>
        </r>
      </text>
    </comment>
    <comment ref="A60" authorId="0" shapeId="0" xr:uid="{B9C0AB75-75B9-41C4-B808-24B8EB3015CC}">
      <text>
        <r>
          <rPr>
            <sz val="9"/>
            <color indexed="81"/>
            <rFont val="Segoe UI"/>
            <family val="2"/>
          </rPr>
          <t>Hier werden ggf. weitere Kostenangaben verrechnet, sofern hierzu Angaben im Tabellenblatt "Eingabe_Angebotswerte" eingetragen wurden.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23" authorId="0" shapeId="0" xr:uid="{00000000-0006-0000-0B00-000001000000}">
      <text>
        <r>
          <rPr>
            <sz val="9"/>
            <color indexed="81"/>
            <rFont val="Segoe UI"/>
            <family val="2"/>
          </rPr>
          <t>Mittlerer Strommix (Feld D23) wird in Abhängigkeit der Haltedauer errechnet;
Quellen und Daten für die Berechnung des Mittelwerts siehe rechts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13" authorId="0" shapeId="0" xr:uid="{9B22C7CC-82CE-436B-9638-83763768CD15}">
      <text>
        <r>
          <rPr>
            <sz val="9"/>
            <color indexed="81"/>
            <rFont val="Segoe UI"/>
            <family val="2"/>
          </rPr>
          <t>Die Angaben sind entsprechend der technischen Leistungsbeschreibung auszufüllen. Sie haben keinen Einfluss auf die Berechnung, sondern wirken sich nur auf die bei der Eingabe maximal zulässigen Treibhausgasemissionen (bei Verbrennern) bzw. Energieverbräuche (bei BEV) laut Mindestanforderungen aus. Bei der Anforderung eines großen Laderaums ist die Anforderung an die Zuladung nicht mehr relevant (siehe Mindestanforderungen im Tabellenblatt "Grunddaten").</t>
        </r>
      </text>
    </comment>
    <comment ref="A24" authorId="0" shapeId="0" xr:uid="{00000000-0006-0000-0100-000002000000}">
      <text>
        <r>
          <rPr>
            <sz val="9"/>
            <color indexed="81"/>
            <rFont val="Segoe UI"/>
            <family val="2"/>
          </rPr>
          <t>Wertminderung auf Basis der Fahrzeug-Restwertberechnung nach Quelle BEUC (2016)</t>
        </r>
      </text>
    </comment>
    <comment ref="A27" authorId="0" shapeId="0" xr:uid="{00000000-0006-0000-0100-000003000000}">
      <text>
        <r>
          <rPr>
            <sz val="9"/>
            <color indexed="81"/>
            <rFont val="Segoe UI"/>
            <family val="2"/>
          </rPr>
          <t>UBA-Vorschläge für externe CO2-Kosten - Stand 02.07.2024 (UBA 2024a)
Im Szenario "hoch" werden Schäden durch die CO2-Emissionen für künftige Generationen gleich hoch gewichtet wie für die gegenwärtige.
Alternative CO2-Kosten können Sie ggf. im Tabellenblatt "Grunddaten" eingeben. Diese überschreiben dann das hier ausgewählte Szenario.</t>
        </r>
      </text>
    </comment>
    <comment ref="A32" authorId="0" shapeId="0" xr:uid="{00000000-0006-0000-0100-000004000000}">
      <text>
        <r>
          <rPr>
            <sz val="9"/>
            <color indexed="81"/>
            <rFont val="Segoe UI"/>
            <family val="2"/>
          </rPr>
          <t>Wirkt sich lediglich auf den Strompreis aus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Julia Pelzeter</author>
  </authors>
  <commentList>
    <comment ref="B25" authorId="0" shapeId="0" xr:uid="{7132A534-EDB2-49E5-915E-3C906AA7E002}">
      <text>
        <r>
          <rPr>
            <sz val="9"/>
            <color indexed="81"/>
            <rFont val="Segoe UI"/>
            <family val="2"/>
          </rPr>
          <t xml:space="preserve">Hier können Sie weitere jährliche Kosten eingeben wie z.B. die Kfz-Steuer oder Wartungskosten. 
WICHTIG: Die Kostenangaben müssen in der Einheit EUR/Jahr erfolgen.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 authorId="0" shapeId="0" xr:uid="{00000000-0006-0000-0300-000001000000}">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9" authorId="1" shapeId="0" xr:uid="{EAE49A51-9DF3-487B-87A0-0A4820C40CB6}">
      <text>
        <r>
          <rPr>
            <sz val="9"/>
            <color indexed="81"/>
            <rFont val="Segoe UI"/>
            <family val="2"/>
          </rPr>
          <t>Wertminderung = Kaufpreis abzüglich Restwert</t>
        </r>
      </text>
    </comment>
    <comment ref="A21" authorId="0" shapeId="0" xr:uid="{00000000-0006-0000-0300-000002000000}">
      <text>
        <r>
          <rPr>
            <sz val="9"/>
            <color indexed="81"/>
            <rFont val="Segoe UI"/>
            <family val="2"/>
          </rPr>
          <t>Die Kosten werden basierend auf den unten ausgewiesenen Treibhausgas- sowie weiteren Abgasemissionen und den gewählten Kostensätzen im Blatt "Grunddaten" berechnet.</t>
        </r>
      </text>
    </comment>
    <comment ref="A24" authorId="0" shapeId="0" xr:uid="{E53DD2C5-E206-4488-BBF8-F163CEA49476}">
      <text>
        <r>
          <rPr>
            <sz val="9"/>
            <color indexed="81"/>
            <rFont val="Segoe UI"/>
            <family val="2"/>
          </rPr>
          <t>Hier werden ggf. weitere Kosten angezeigt, sofern hierzu Angaben im Tabellenblatt "Eingabe_Angebotswerte" eingetragen wurden.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A2" authorId="0" shapeId="0" xr:uid="{956046D9-97B8-4070-9C85-2BB7FDF73359}">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8" authorId="0" shapeId="0" xr:uid="{00000000-0006-0000-0400-000002000000}">
      <text>
        <r>
          <rPr>
            <sz val="9"/>
            <color indexed="81"/>
            <rFont val="Segoe UI"/>
            <family val="2"/>
          </rPr>
          <t>Die Kosten werden basierend auf den unten ausgewiesenen Treibhausgas- sowie weiteren Abgasemissionen und den gewählten Kostensätzen im Blatt "Grunddaten" berechnet.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Berhard Bruch</author>
    <author>Julia Pelzeter</author>
  </authors>
  <commentList>
    <comment ref="I1" authorId="0" shapeId="0" xr:uid="{00000000-0006-0000-0500-000001000000}">
      <text>
        <r>
          <rPr>
            <sz val="9"/>
            <color indexed="81"/>
            <rFont val="Segoe UI"/>
            <family val="2"/>
          </rPr>
          <t>Werte, die im Endeffekt zur Berechnung herangezogen werden</t>
        </r>
      </text>
    </comment>
    <comment ref="A5" authorId="1" shapeId="0" xr:uid="{B46FC8F2-2A48-4FEF-857A-69817305BE84}">
      <text>
        <r>
          <rPr>
            <sz val="9"/>
            <color indexed="81"/>
            <rFont val="Segoe UI"/>
            <family val="2"/>
          </rPr>
          <t>Die Werte in Spalte D sind Vorschläge aus dem Projekt des ifeu-Instituts und können mithilfe von Spalte E überschrieben werden. Die Mindestanforderungen dienen dem Abgleich mit den Angebotswerten im Tabellenblatt "Eingabe_Angebotswerte".
Weitere Informationen zu den vorgeschlagenen Umweltanforderungen finden Sie unter:
https://www.nachhaltige-oeffentliche-pkw-beschaffung.de/assets/downloads/Umweltanforderungen_Fahrzeugbeschaffung.pdf</t>
        </r>
      </text>
    </comment>
    <comment ref="A17" authorId="1" shapeId="0" xr:uid="{C048CFE1-DED4-4BD1-90C0-1AAFC088EE3B}">
      <text>
        <r>
          <rPr>
            <sz val="9"/>
            <color indexed="81"/>
            <rFont val="Segoe UI"/>
            <family val="2"/>
          </rPr>
          <t>Bei Verbrennerfahrzeugen werden die CO2-Auspuff-Emissionen direkt durch den Kraftstoffverbrauch bestimmt. Somit limitieren die im ifeu-Projekt vorgeschlagenen Mindestanforderungen für CO2-Emissionen den Kraftstoffverbrauch und es bedarf keines extra Kriteriums für den Energieverbrauch von Verbrennern. Falls dennoch eigene Vorgaben zum Energieverbrauch von Verbrennern und PHEV gemacht werden, können diese hier in die blauen Felder eingetragen werden.</t>
        </r>
      </text>
    </comment>
    <comment ref="J36" authorId="0" shapeId="0" xr:uid="{00000000-0006-0000-0500-000002000000}">
      <text>
        <r>
          <rPr>
            <sz val="9"/>
            <color indexed="81"/>
            <rFont val="Segoe UI"/>
            <family val="2"/>
          </rPr>
          <t>Mittelwert aus Preisen für Normalladen (AC) und Schnellladen (DC)</t>
        </r>
      </text>
    </comment>
    <comment ref="J38" authorId="0" shapeId="0" xr:uid="{00000000-0006-0000-0500-000003000000}">
      <text>
        <r>
          <rPr>
            <sz val="9"/>
            <color indexed="81"/>
            <rFont val="Segoe UI"/>
            <family val="2"/>
          </rPr>
          <t>Mittelwert März-August 2024</t>
        </r>
      </text>
    </comment>
    <comment ref="J39" authorId="0" shapeId="0" xr:uid="{00000000-0006-0000-0500-000004000000}">
      <text>
        <r>
          <rPr>
            <sz val="9"/>
            <color indexed="81"/>
            <rFont val="Segoe UI"/>
            <family val="2"/>
          </rPr>
          <t>Mittelwert März-August 2024
Super E10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600-000001000000}">
      <text>
        <r>
          <rPr>
            <sz val="9"/>
            <color indexed="81"/>
            <rFont val="Segoe UI"/>
            <family val="2"/>
          </rPr>
          <t>Quellen zur Berechnung:
T&amp;E (2022), Plötz und Jöhrens (2021)</t>
        </r>
      </text>
    </comment>
    <comment ref="A46" authorId="0" shapeId="0" xr:uid="{00000000-0006-0000-0600-00000200000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63591309-42A1-41F9-845F-F72476AB4A41}">
      <text>
        <r>
          <rPr>
            <sz val="9"/>
            <color indexed="81"/>
            <rFont val="Segoe UI"/>
            <family val="2"/>
          </rPr>
          <t>Wertminderung auf Basis der Fahrzeug-Restwertberechnung nach Quelle BEUC (2016)</t>
        </r>
      </text>
    </comment>
    <comment ref="A60" authorId="0" shapeId="0" xr:uid="{5C5C759B-8D68-4BE4-B4BC-6112D5B52C5A}">
      <text>
        <r>
          <rPr>
            <sz val="9"/>
            <color indexed="81"/>
            <rFont val="Segoe UI"/>
            <family val="2"/>
          </rPr>
          <t>Hier werden ggf. weitere Kostenangaben verrechnet, sofern hierzu Angaben im Tabellenblatt "Eingabe_Angebotswerte" eingetragen wurden.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700-000001000000}">
      <text>
        <r>
          <rPr>
            <sz val="9"/>
            <color indexed="81"/>
            <rFont val="Segoe UI"/>
            <family val="2"/>
          </rPr>
          <t>Quellen zur Berechnung:
T&amp;E (2022), Plötz und Jöhrens (2021)</t>
        </r>
      </text>
    </comment>
    <comment ref="A46" authorId="0" shapeId="0" xr:uid="{C0EF68A1-E7ED-4A49-B436-F4F1679912E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17225929-D7B5-42D3-B5C7-427709D2291D}">
      <text>
        <r>
          <rPr>
            <sz val="9"/>
            <color indexed="81"/>
            <rFont val="Segoe UI"/>
            <family val="2"/>
          </rPr>
          <t>Wertminderung auf Basis der Fahrzeug-Restwertberechnung nach Quelle BEUC (2016)</t>
        </r>
      </text>
    </comment>
    <comment ref="A60" authorId="0" shapeId="0" xr:uid="{3BD9777A-5B7B-4BFD-AF2F-2C66E7B09676}">
      <text>
        <r>
          <rPr>
            <sz val="9"/>
            <color indexed="81"/>
            <rFont val="Segoe UI"/>
            <family val="2"/>
          </rPr>
          <t>Hier werden ggf. weitere Kostenangaben verrechnet, sofern hierzu Angaben im Tabellenblatt "Eingabe_Angebotswerte" eingetragen wurden.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800-000001000000}">
      <text>
        <r>
          <rPr>
            <sz val="9"/>
            <color indexed="81"/>
            <rFont val="Segoe UI"/>
            <family val="2"/>
          </rPr>
          <t>Quellen zur Berechnung:
T&amp;E (2022), Plötz und Jöhrens (2021)</t>
        </r>
      </text>
    </comment>
    <comment ref="A46" authorId="0" shapeId="0" xr:uid="{8FF637F7-E48F-4823-B4AE-FAA72A8FFF39}">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FDB1CAF-C7D8-45F9-9B30-BB7D0D0A6346}">
      <text>
        <r>
          <rPr>
            <sz val="9"/>
            <color indexed="81"/>
            <rFont val="Segoe UI"/>
            <family val="2"/>
          </rPr>
          <t>Wertminderung auf Basis der Fahrzeug-Restwertberechnung nach Quelle BEUC (2016)</t>
        </r>
      </text>
    </comment>
    <comment ref="A60" authorId="0" shapeId="0" xr:uid="{25F2992D-2B9C-4C99-8826-E684FF0DCF98}">
      <text>
        <r>
          <rPr>
            <sz val="9"/>
            <color indexed="81"/>
            <rFont val="Segoe UI"/>
            <family val="2"/>
          </rPr>
          <t>Hier werden ggf. weitere Kostenangaben verrechnet, sofern hierzu Angaben im Tabellenblatt "Eingabe_Angebotswerte" eingetragen wurden.</t>
        </r>
      </text>
    </comment>
  </commentList>
</comments>
</file>

<file path=xl/sharedStrings.xml><?xml version="1.0" encoding="utf-8"?>
<sst xmlns="http://schemas.openxmlformats.org/spreadsheetml/2006/main" count="1181" uniqueCount="633">
  <si>
    <t>Vorgehen</t>
  </si>
  <si>
    <t>Das Tool prüft bei Eingabe, ob die für die Lebenszykluskosten-Berechnung benötigten Werte der angebotenen Fahrzeuge Ihrer Beschaffungsvorschrift entsprechen. Abweichungen werden durch eine rote Markierung im Tabellenblatt "Eingabe_Angebotswerte" gekennzeichnet. Ggf. müssen Sie die voreingestellen Mindestanforderungen mit Ihren spezifischen Anforderungen abgleichen.</t>
  </si>
  <si>
    <t>Informieren Sie sich über die zur Berechnung verwendeten Energie- und Umweltkosten und ändern Sie diese ggf. entsprechend aktueller Vorgaben.</t>
  </si>
  <si>
    <t xml:space="preserve">Vergleichen Sie die Lebenszykluskosten der verschiedenen Angebote im Tabellenformat und in einer Vergleichsgrafik. Das Ranking der Angebote wird hier direkt angezeigt. </t>
  </si>
  <si>
    <t>Als Teilergebnis der Lebenszykluskosten werden hier ausschließlich die externen Umweltkosten dargestellt und entsprechend verglichen.</t>
  </si>
  <si>
    <r>
      <t xml:space="preserve">Im Tabellenblatt </t>
    </r>
    <r>
      <rPr>
        <u/>
        <sz val="10"/>
        <color rgb="FF0070C0"/>
        <rFont val="Arial"/>
        <family val="2"/>
      </rPr>
      <t>"Quellen"</t>
    </r>
    <r>
      <rPr>
        <sz val="10"/>
        <rFont val="Arial"/>
        <family val="2"/>
      </rPr>
      <t xml:space="preserve"> finden Sie Quellenangaben zu verwendeten Werten und Annahmen.</t>
    </r>
  </si>
  <si>
    <t>Bedienung</t>
  </si>
  <si>
    <r>
      <rPr>
        <b/>
        <sz val="10"/>
        <color theme="1"/>
        <rFont val="Arial"/>
        <family val="2"/>
      </rPr>
      <t>Eingabefelde</t>
    </r>
    <r>
      <rPr>
        <b/>
        <sz val="10"/>
        <rFont val="Arial"/>
        <family val="2"/>
      </rPr>
      <t>r</t>
    </r>
    <r>
      <rPr>
        <sz val="10"/>
        <color theme="1"/>
        <rFont val="Arial"/>
        <family val="2"/>
      </rPr>
      <t>: Hier sind die Werte aus den Angeboten einzugeben.</t>
    </r>
  </si>
  <si>
    <r>
      <t xml:space="preserve">Hier liegen </t>
    </r>
    <r>
      <rPr>
        <b/>
        <sz val="10"/>
        <color theme="1"/>
        <rFont val="Arial"/>
        <family val="2"/>
      </rPr>
      <t>Default-Werte</t>
    </r>
    <r>
      <rPr>
        <sz val="10"/>
        <color theme="1"/>
        <rFont val="Arial"/>
        <family val="2"/>
      </rPr>
      <t xml:space="preserve"> vor, die für die Berechnungen verwendet werden. 
Es können auch eigene Daten eingegeben werden.</t>
    </r>
  </si>
  <si>
    <t>bitte wählen</t>
  </si>
  <si>
    <r>
      <rPr>
        <b/>
        <sz val="10"/>
        <color theme="1"/>
        <rFont val="Arial"/>
        <family val="2"/>
      </rPr>
      <t>Auswahlfelder</t>
    </r>
    <r>
      <rPr>
        <sz val="10"/>
        <color theme="1"/>
        <rFont val="Arial"/>
        <family val="2"/>
      </rPr>
      <t>: Durch Anklicken erscheint ein Dropdown-Menü.</t>
    </r>
  </si>
  <si>
    <t>i</t>
  </si>
  <si>
    <r>
      <rPr>
        <b/>
        <sz val="10"/>
        <color theme="1"/>
        <rFont val="Arial"/>
        <family val="2"/>
      </rPr>
      <t>Kommentarfelder</t>
    </r>
    <r>
      <rPr>
        <sz val="10"/>
        <color theme="1"/>
        <rFont val="Arial"/>
        <family val="2"/>
      </rPr>
      <t xml:space="preserve"> mit Hilfestellungen zur Dateneingabe, Quellenangaben etc.
Die Kommentarfelder befinden sich am linken Rand.</t>
    </r>
  </si>
  <si>
    <t>Hinweise zum Tool</t>
  </si>
  <si>
    <r>
      <t>Das ifeu - Institut für Energie- und Umweltforschung Heidelberg gGmbH</t>
    </r>
    <r>
      <rPr>
        <i/>
        <sz val="10"/>
        <color theme="1"/>
        <rFont val="Arial"/>
        <family val="2"/>
      </rPr>
      <t xml:space="preserve"> </t>
    </r>
    <r>
      <rPr>
        <sz val="10"/>
        <color theme="1"/>
        <rFont val="Arial"/>
        <family val="2"/>
      </rPr>
      <t>übernimmt keine Haftung für die Richtigkeit der Berechnungen.</t>
    </r>
  </si>
  <si>
    <t>Kontakt</t>
  </si>
  <si>
    <t>Julia Pelzeter - Fachbereich Mobilität</t>
  </si>
  <si>
    <t>ifeu - Institut für Energie- und Umweltforschung Heidelberg gGmbH, Wilckensstraße 3, 69120 Heidelberg</t>
  </si>
  <si>
    <t>Büro Berlin: Reinhardtstraße 50, 10117 Berlin</t>
  </si>
  <si>
    <r>
      <rPr>
        <sz val="10"/>
        <rFont val="Arial"/>
        <family val="2"/>
      </rPr>
      <t xml:space="preserve">Tel.: +49 (0) 30 284 45 78-23 | </t>
    </r>
    <r>
      <rPr>
        <u/>
        <sz val="10"/>
        <color theme="10"/>
        <rFont val="Arial"/>
        <family val="2"/>
      </rPr>
      <t xml:space="preserve">julia.pelzeter@ifeu.de </t>
    </r>
  </si>
  <si>
    <t>zurück zu "Anleitung"</t>
  </si>
  <si>
    <t>Allgemeine Angaben (durch Beschaffer*in einzugeben)</t>
  </si>
  <si>
    <t>Unternehmen/öffentliche Einrichtung</t>
  </si>
  <si>
    <t>Landratsamt Bärstedt</t>
  </si>
  <si>
    <t>Zuständige Person</t>
  </si>
  <si>
    <t>Erika Musterfrau</t>
  </si>
  <si>
    <t>Bearbeitungsdatum</t>
  </si>
  <si>
    <t>km/Jahr</t>
  </si>
  <si>
    <t>Art der Beschaffung</t>
  </si>
  <si>
    <t>Kauf</t>
  </si>
  <si>
    <t>Haltedauer</t>
  </si>
  <si>
    <t>Jahre</t>
  </si>
  <si>
    <t>Berücksichtigung des Fahrzeugpreises in der Lebenszykluskosten-Berechnung</t>
  </si>
  <si>
    <t>Wertminderung</t>
  </si>
  <si>
    <r>
      <t>CO</t>
    </r>
    <r>
      <rPr>
        <vertAlign val="subscript"/>
        <sz val="11"/>
        <color theme="1"/>
        <rFont val="Arial"/>
        <family val="2"/>
      </rPr>
      <t>2</t>
    </r>
    <r>
      <rPr>
        <sz val="11"/>
        <color theme="1"/>
        <rFont val="Arial"/>
        <family val="2"/>
      </rPr>
      <t>-Kosten</t>
    </r>
  </si>
  <si>
    <r>
      <t>EUR/t CO</t>
    </r>
    <r>
      <rPr>
        <vertAlign val="subscript"/>
        <sz val="11"/>
        <color theme="1"/>
        <rFont val="Arial"/>
        <family val="2"/>
      </rPr>
      <t>2</t>
    </r>
    <r>
      <rPr>
        <sz val="11"/>
        <color theme="1"/>
        <rFont val="Arial"/>
        <family val="2"/>
      </rPr>
      <t>eq</t>
    </r>
  </si>
  <si>
    <t>Ergänzende Angaben für Elektrofahrzeuge:</t>
  </si>
  <si>
    <t>Eigenen Wert nutzen</t>
  </si>
  <si>
    <t>Anteil eff.</t>
  </si>
  <si>
    <t>Anteil Strom aus eigener Ladestation</t>
  </si>
  <si>
    <t>%</t>
  </si>
  <si>
    <t>Anteil Strom an öffentlichen Säulen geladen</t>
  </si>
  <si>
    <t>Daten zur Lebenszykluskosten-Berechnung</t>
  </si>
  <si>
    <t>Angebotsnummer</t>
  </si>
  <si>
    <t>Antriebsart</t>
  </si>
  <si>
    <t>Vollelektrisch (BEV)</t>
  </si>
  <si>
    <t>Verbrenner</t>
  </si>
  <si>
    <t>Plug-in-Hybrid (PHEV)</t>
  </si>
  <si>
    <t>Energieträger</t>
  </si>
  <si>
    <t>Strom</t>
  </si>
  <si>
    <t>Diesel</t>
  </si>
  <si>
    <t>Benzin</t>
  </si>
  <si>
    <t>Anbieter</t>
  </si>
  <si>
    <t>A</t>
  </si>
  <si>
    <t>B</t>
  </si>
  <si>
    <t>C</t>
  </si>
  <si>
    <t>D</t>
  </si>
  <si>
    <t>E</t>
  </si>
  <si>
    <t>Fahrzeughersteller</t>
  </si>
  <si>
    <t>Opel</t>
  </si>
  <si>
    <t>Modell</t>
  </si>
  <si>
    <t>Beim Kopieren immer nur Werte einfügen</t>
  </si>
  <si>
    <t>Zusatzinfos
(Ausstattungslinie o.ä.)</t>
  </si>
  <si>
    <t>(Rechtsklick -&gt; Werte einfügen)</t>
  </si>
  <si>
    <t>Leasingsonderzahlung (brutto)</t>
  </si>
  <si>
    <t>EUR</t>
  </si>
  <si>
    <t>*</t>
  </si>
  <si>
    <t>WLTP
-Typprüfwerte</t>
  </si>
  <si>
    <t>Energieverbrauch</t>
  </si>
  <si>
    <t>l/100km</t>
  </si>
  <si>
    <t>kWh/100km</t>
  </si>
  <si>
    <r>
      <t>CO</t>
    </r>
    <r>
      <rPr>
        <vertAlign val="subscript"/>
        <sz val="11"/>
        <rFont val="Arial"/>
        <family val="2"/>
      </rPr>
      <t>2</t>
    </r>
  </si>
  <si>
    <t>g/km</t>
  </si>
  <si>
    <r>
      <t>NO</t>
    </r>
    <r>
      <rPr>
        <vertAlign val="subscript"/>
        <sz val="11"/>
        <color theme="1"/>
        <rFont val="Arial"/>
        <family val="2"/>
      </rPr>
      <t>X</t>
    </r>
    <r>
      <rPr>
        <sz val="11"/>
        <color theme="1"/>
        <rFont val="Arial"/>
        <family val="2"/>
      </rPr>
      <t xml:space="preserve"> (Stickoxide)</t>
    </r>
  </si>
  <si>
    <t>mg/km</t>
  </si>
  <si>
    <t>Partikel</t>
  </si>
  <si>
    <t>Rein elektrische Reichweite</t>
  </si>
  <si>
    <t>km</t>
  </si>
  <si>
    <t>Batteriegröße brutto</t>
  </si>
  <si>
    <t>kWh</t>
  </si>
  <si>
    <t>Check Energieträger</t>
  </si>
  <si>
    <t>Check Werte gefüllt</t>
  </si>
  <si>
    <r>
      <t xml:space="preserve">Bei den umrahmten Werten wird geprüft, ob sie Ihrer Beschaffungsvorschrift entsprechen. Ggf. müssen Sie die voreingestellen Mindestanforderungen mit Ihren spezifischen Anforderungen abgleichen (Tabellenblatt </t>
    </r>
    <r>
      <rPr>
        <u/>
        <sz val="11"/>
        <color rgb="FF0070C0"/>
        <rFont val="Arial"/>
        <family val="2"/>
      </rPr>
      <t>"Grunddaten"</t>
    </r>
    <r>
      <rPr>
        <sz val="11"/>
        <rFont val="Arial"/>
        <family val="2"/>
      </rPr>
      <t xml:space="preserve">). </t>
    </r>
  </si>
  <si>
    <t>Felder mit abweichenden Werten werden rot gekennzeichnet. Das entsprechende Angebot ist von der Wertung auszuschließen.</t>
  </si>
  <si>
    <t>Projektinfos</t>
  </si>
  <si>
    <t>Lebenszykluskosten</t>
  </si>
  <si>
    <t>Kaufpreis</t>
  </si>
  <si>
    <t>Energiekosten</t>
  </si>
  <si>
    <t>Externe Umweltkosten (Betrieb)</t>
  </si>
  <si>
    <t>Externe Umweltkosten THG (Vorkette)</t>
  </si>
  <si>
    <t>Externe Umweltkosten Herstellung (Batterie)</t>
  </si>
  <si>
    <t>Total</t>
  </si>
  <si>
    <t>Rangfolge nach Lebenszykluskosten</t>
  </si>
  <si>
    <t>Übersicht: Treibhausgasemissionen</t>
  </si>
  <si>
    <t>Treibhausgasemissionen Herstellung (Batterie) (Scope 3)</t>
  </si>
  <si>
    <r>
      <t>t CO</t>
    </r>
    <r>
      <rPr>
        <vertAlign val="subscript"/>
        <sz val="10"/>
        <rFont val="Arial"/>
        <family val="2"/>
      </rPr>
      <t>2</t>
    </r>
    <r>
      <rPr>
        <sz val="10"/>
        <rFont val="Arial"/>
        <family val="2"/>
      </rPr>
      <t>eq</t>
    </r>
  </si>
  <si>
    <t>Treibhausgasemissionen Betrieb (Scope 1 und 2)</t>
  </si>
  <si>
    <t>Externe Umweltkosten THG (Betrieb)</t>
  </si>
  <si>
    <t>Externe Umweltk. Luftschadstoffe (Betrieb)</t>
  </si>
  <si>
    <t>Lebenszykluskosten Diagramm (gesamte Haltedauer)</t>
  </si>
  <si>
    <t>MINDESTANFORDERUNGEN</t>
  </si>
  <si>
    <t>Kategorie</t>
  </si>
  <si>
    <t>Wert</t>
  </si>
  <si>
    <t>Eigene Werte nutzen</t>
  </si>
  <si>
    <t>Einheit</t>
  </si>
  <si>
    <t>Werte eff.</t>
  </si>
  <si>
    <r>
      <t>CO</t>
    </r>
    <r>
      <rPr>
        <vertAlign val="subscript"/>
        <sz val="11"/>
        <color theme="1"/>
        <rFont val="Arial"/>
        <family val="2"/>
      </rPr>
      <t>2</t>
    </r>
    <r>
      <rPr>
        <sz val="11"/>
        <color theme="1"/>
        <rFont val="Arial"/>
        <family val="2"/>
      </rPr>
      <t>-Emissionen (WLTP)</t>
    </r>
  </si>
  <si>
    <t>PHEV</t>
  </si>
  <si>
    <r>
      <t>NO</t>
    </r>
    <r>
      <rPr>
        <vertAlign val="subscript"/>
        <sz val="11"/>
        <color theme="1"/>
        <rFont val="Arial"/>
        <family val="2"/>
      </rPr>
      <t>X</t>
    </r>
    <r>
      <rPr>
        <sz val="11"/>
        <color theme="1"/>
        <rFont val="Arial"/>
        <family val="2"/>
      </rPr>
      <t>-Emissionen (WLTP)</t>
    </r>
  </si>
  <si>
    <t>Verbrenner und PHEV</t>
  </si>
  <si>
    <t>Partikel-Emissionen (WLTP)</t>
  </si>
  <si>
    <t>Energieverbrauch (WLTP)</t>
  </si>
  <si>
    <t>BEV</t>
  </si>
  <si>
    <t>kWh/100 km</t>
  </si>
  <si>
    <t>Elektrische Mindestreichweite (WLTP)</t>
  </si>
  <si>
    <t>ENERGIE- + UMWELTKOSTEN</t>
  </si>
  <si>
    <t>Die Kosten werden in EUR brutto (nach Steuern) angegeben.</t>
  </si>
  <si>
    <t>Energiepreis</t>
  </si>
  <si>
    <t>Kosten eff.</t>
  </si>
  <si>
    <t>Quellen:</t>
  </si>
  <si>
    <t>Quellen eigene Werte:</t>
  </si>
  <si>
    <t>Strom eigene Ladestation</t>
  </si>
  <si>
    <t>ct/kWh</t>
  </si>
  <si>
    <t>Strom externe Ladestation</t>
  </si>
  <si>
    <t>EUR/l</t>
  </si>
  <si>
    <t>Erdgas (CNG)</t>
  </si>
  <si>
    <t>EUR/kg</t>
  </si>
  <si>
    <t>Externe Umweltkosten - Annahmen</t>
  </si>
  <si>
    <t>Welche externen Umweltkosten sollen in der LZK-Berechnung berücksichtigt werden?</t>
  </si>
  <si>
    <t>Externe Umweltkosten Treibhausgasemissionen</t>
  </si>
  <si>
    <t>Lambrecht et al. (2023)</t>
  </si>
  <si>
    <t>Externe Umweltkosten NOx (Stickoxide)</t>
  </si>
  <si>
    <t>EUR/g</t>
  </si>
  <si>
    <t>Externe Umweltkosten Partikel (PM2.5)</t>
  </si>
  <si>
    <t xml:space="preserve">Herstellungsemissionen Batterien </t>
  </si>
  <si>
    <r>
      <t>kg CO</t>
    </r>
    <r>
      <rPr>
        <vertAlign val="subscript"/>
        <sz val="11"/>
        <color theme="1"/>
        <rFont val="Arial"/>
        <family val="2"/>
      </rPr>
      <t>2</t>
    </r>
    <r>
      <rPr>
        <sz val="11"/>
        <color theme="1"/>
        <rFont val="Arial"/>
        <family val="2"/>
      </rPr>
      <t>eq/kWh</t>
    </r>
  </si>
  <si>
    <t>Biemann et al. (2024)</t>
  </si>
  <si>
    <t>Referenz-Batteriechemie: NMC 622</t>
  </si>
  <si>
    <t>Angaben zum Angebot</t>
  </si>
  <si>
    <t>Angebotenes Fahrzeug</t>
  </si>
  <si>
    <t>Hersteller</t>
  </si>
  <si>
    <t>Zusatzinfos</t>
  </si>
  <si>
    <t>Zusatzberechnungen Plug-In-Hybrid</t>
  </si>
  <si>
    <t>Anteil elektrisches Fahren ("Utility-Faktor") nach WLTP</t>
  </si>
  <si>
    <r>
      <t xml:space="preserve">Verbrauch </t>
    </r>
    <r>
      <rPr>
        <b/>
        <sz val="11"/>
        <color theme="1"/>
        <rFont val="Arial"/>
        <family val="2"/>
      </rPr>
      <t>im reinen Verbrennermodus</t>
    </r>
    <r>
      <rPr>
        <sz val="11"/>
        <color theme="1"/>
        <rFont val="Arial"/>
        <family val="2"/>
      </rPr>
      <t xml:space="preserve"> nach WLTP (errechnet)</t>
    </r>
  </si>
  <si>
    <r>
      <t xml:space="preserve">Verbrauch </t>
    </r>
    <r>
      <rPr>
        <b/>
        <sz val="11"/>
        <color theme="1"/>
        <rFont val="Arial"/>
        <family val="2"/>
      </rPr>
      <t>im rein elektrischen Modus</t>
    </r>
    <r>
      <rPr>
        <sz val="11"/>
        <color theme="1"/>
        <rFont val="Arial"/>
        <family val="2"/>
      </rPr>
      <t xml:space="preserve"> nach WLTP (errechnet)</t>
    </r>
  </si>
  <si>
    <t>Realitätsnaher Anteil elektrisches Fahren (empirisch ermittelt)</t>
  </si>
  <si>
    <t>Kombinierter Verbrauch bei realitätsnahem Anteil elektrisches Fahren</t>
  </si>
  <si>
    <t>Kosten und umweltrelevante Angaben - Betrieb des Fahrzeugs</t>
  </si>
  <si>
    <t>Kraftstoff</t>
  </si>
  <si>
    <t>EUR/Jahr</t>
  </si>
  <si>
    <t>Betrieb: Externe Umweltkosten</t>
  </si>
  <si>
    <t>Treibhausgasemissionen (THG)</t>
  </si>
  <si>
    <r>
      <t>t CO</t>
    </r>
    <r>
      <rPr>
        <b/>
        <vertAlign val="subscript"/>
        <sz val="11"/>
        <color theme="1"/>
        <rFont val="Arial"/>
        <family val="2"/>
      </rPr>
      <t>2</t>
    </r>
    <r>
      <rPr>
        <b/>
        <sz val="11"/>
        <color theme="1"/>
        <rFont val="Arial"/>
        <family val="2"/>
      </rPr>
      <t>eq/Jahr</t>
    </r>
  </si>
  <si>
    <t>NOx (Stickoxide)</t>
  </si>
  <si>
    <t>Vorkette: Externe Umweltkosten</t>
  </si>
  <si>
    <t>Externe Umweltkosten Vorkette</t>
  </si>
  <si>
    <t>Umweltrelevante Angaben - Herstellung der Batterie</t>
  </si>
  <si>
    <t>Herstellung Batterie: Externe Umweltkosten</t>
  </si>
  <si>
    <t>Batterieherstellung</t>
  </si>
  <si>
    <r>
      <t>t CO</t>
    </r>
    <r>
      <rPr>
        <b/>
        <vertAlign val="subscript"/>
        <sz val="11"/>
        <color theme="1"/>
        <rFont val="Arial"/>
        <family val="2"/>
      </rPr>
      <t>2</t>
    </r>
    <r>
      <rPr>
        <b/>
        <sz val="11"/>
        <color theme="1"/>
        <rFont val="Arial"/>
        <family val="2"/>
      </rPr>
      <t>eq gesamt</t>
    </r>
  </si>
  <si>
    <r>
      <t>g CO</t>
    </r>
    <r>
      <rPr>
        <b/>
        <vertAlign val="subscript"/>
        <sz val="11"/>
        <color theme="1"/>
        <rFont val="Arial"/>
        <family val="2"/>
      </rPr>
      <t>2</t>
    </r>
    <r>
      <rPr>
        <b/>
        <sz val="11"/>
        <color theme="1"/>
        <rFont val="Arial"/>
        <family val="2"/>
      </rPr>
      <t>eq/km</t>
    </r>
  </si>
  <si>
    <t>Externe Umweltkosten Batterieherstellung</t>
  </si>
  <si>
    <t>Kosten des Fahrzeugs über die gesamte Haltedauer gesehen</t>
  </si>
  <si>
    <t>Fahrzeugkosten (Leasing-/Mietkosten)</t>
  </si>
  <si>
    <t>Externe Umweltkosten Betrieb</t>
  </si>
  <si>
    <t>Treibhausgasemissionen Herstellung Batterie (Scope 3)</t>
  </si>
  <si>
    <r>
      <t>t CO</t>
    </r>
    <r>
      <rPr>
        <vertAlign val="subscript"/>
        <sz val="11"/>
        <color theme="1"/>
        <rFont val="Arial"/>
        <family val="2"/>
      </rPr>
      <t>2</t>
    </r>
    <r>
      <rPr>
        <sz val="11"/>
        <color theme="1"/>
        <rFont val="Arial"/>
        <family val="2"/>
      </rPr>
      <t>eq</t>
    </r>
  </si>
  <si>
    <t>EMISSIONSFAKTOREN</t>
  </si>
  <si>
    <t>TTW: THG</t>
  </si>
  <si>
    <t>WTT: THG</t>
  </si>
  <si>
    <r>
      <t>g CO</t>
    </r>
    <r>
      <rPr>
        <vertAlign val="subscript"/>
        <sz val="11"/>
        <color theme="1"/>
        <rFont val="Arial"/>
        <family val="2"/>
      </rPr>
      <t>2</t>
    </r>
    <r>
      <rPr>
        <sz val="11"/>
        <color theme="1"/>
        <rFont val="Arial"/>
        <family val="2"/>
      </rPr>
      <t>eq/MJ</t>
    </r>
  </si>
  <si>
    <t>Umrechnungsfaktoren Energieträger</t>
  </si>
  <si>
    <t>Ausgangseinheit</t>
  </si>
  <si>
    <t>Umrechnung in MJ</t>
  </si>
  <si>
    <t>l</t>
  </si>
  <si>
    <t>MJ</t>
  </si>
  <si>
    <t>kg</t>
  </si>
  <si>
    <r>
      <t>g CO</t>
    </r>
    <r>
      <rPr>
        <vertAlign val="subscript"/>
        <sz val="11"/>
        <rFont val="Arial"/>
        <family val="2"/>
      </rPr>
      <t>2</t>
    </r>
    <r>
      <rPr>
        <sz val="11"/>
        <rFont val="Arial"/>
        <family val="2"/>
      </rPr>
      <t>eq/kWh</t>
    </r>
  </si>
  <si>
    <t>Jahr</t>
  </si>
  <si>
    <r>
      <t>g CO</t>
    </r>
    <r>
      <rPr>
        <vertAlign val="subscript"/>
        <sz val="11"/>
        <color theme="1"/>
        <rFont val="Arial"/>
        <family val="2"/>
      </rPr>
      <t>2</t>
    </r>
    <r>
      <rPr>
        <sz val="11"/>
        <color theme="1"/>
        <rFont val="Arial"/>
        <family val="2"/>
      </rPr>
      <t>eq/l</t>
    </r>
  </si>
  <si>
    <r>
      <t>g CO</t>
    </r>
    <r>
      <rPr>
        <vertAlign val="subscript"/>
        <sz val="11"/>
        <color theme="1"/>
        <rFont val="Arial"/>
        <family val="2"/>
      </rPr>
      <t>2</t>
    </r>
    <r>
      <rPr>
        <sz val="11"/>
        <color theme="1"/>
        <rFont val="Arial"/>
        <family val="2"/>
      </rPr>
      <t>eq/kg</t>
    </r>
  </si>
  <si>
    <t>Finanzierungsart</t>
  </si>
  <si>
    <t>Fahrzeuggesamtpreis (brutto)</t>
  </si>
  <si>
    <t>Leasing</t>
  </si>
  <si>
    <t>EUR/Monat</t>
  </si>
  <si>
    <t>Leasingrate (brutto)</t>
  </si>
  <si>
    <t>Miete</t>
  </si>
  <si>
    <t>Miete (brutto)</t>
  </si>
  <si>
    <t>EnList1</t>
  </si>
  <si>
    <t>EnList2</t>
  </si>
  <si>
    <t>EnList3</t>
  </si>
  <si>
    <t>da abhängig von der jeweils gewählten Antriebsart</t>
  </si>
  <si>
    <t>EnList4</t>
  </si>
  <si>
    <t>EnList5</t>
  </si>
  <si>
    <t>Ausgangseinheiten der Energieträger</t>
  </si>
  <si>
    <t>Berücksichtung Fahrzeugpreis</t>
  </si>
  <si>
    <t>SCHEMATISCHE DARSTELLUNG DER BERECHNUNG DER LZK</t>
  </si>
  <si>
    <r>
      <t xml:space="preserve">3 </t>
    </r>
    <r>
      <rPr>
        <sz val="11"/>
        <color rgb="FF000000"/>
        <rFont val="Arial"/>
        <family val="2"/>
      </rPr>
      <t>Plötz, P. &amp; Jöhrens, J. (2021): Realistic Test Cycle Utility Factors for Plug-in Hybrid Electric Vehicles in Europe. Karlsruhe: Fraunhofer Institute for Systems and Innovation Research ISI</t>
    </r>
  </si>
  <si>
    <t>LISTE DER FELDNAMEN</t>
  </si>
  <si>
    <t>Datum</t>
  </si>
  <si>
    <t>Fahrleistung</t>
  </si>
  <si>
    <t>FinArt</t>
  </si>
  <si>
    <t>KaufpreisRech</t>
  </si>
  <si>
    <t>KostTHGVorgabe</t>
  </si>
  <si>
    <t>Unternehmen</t>
  </si>
  <si>
    <t>Zustaendig</t>
  </si>
  <si>
    <t>Anbieter1</t>
  </si>
  <si>
    <t>=Eingabe_Angebotswerte!$E$9</t>
  </si>
  <si>
    <t>Anbieter2</t>
  </si>
  <si>
    <t>=Eingabe_Angebotswerte!$F$9</t>
  </si>
  <si>
    <t>Anbieter3</t>
  </si>
  <si>
    <t>=Eingabe_Angebotswerte!$G$9</t>
  </si>
  <si>
    <t>Anbieter4</t>
  </si>
  <si>
    <t>=Eingabe_Angebotswerte!$H$9</t>
  </si>
  <si>
    <t>Anbieter5</t>
  </si>
  <si>
    <t>=Eingabe_Angebotswerte!$I$9</t>
  </si>
  <si>
    <t>Antriebsart1</t>
  </si>
  <si>
    <t>=Eingabe_Angebotswerte!$E$7</t>
  </si>
  <si>
    <t>Antriebsart2</t>
  </si>
  <si>
    <t>=Eingabe_Angebotswerte!$F$7</t>
  </si>
  <si>
    <t>Antriebsart3</t>
  </si>
  <si>
    <t>=Eingabe_Angebotswerte!$G$7</t>
  </si>
  <si>
    <t>Antriebsart4</t>
  </si>
  <si>
    <t>=Eingabe_Angebotswerte!$H$7</t>
  </si>
  <si>
    <t>Antriebsart5</t>
  </si>
  <si>
    <t>=Eingabe_Angebotswerte!$I$7</t>
  </si>
  <si>
    <t>Batterie1</t>
  </si>
  <si>
    <t>=Eingabe_Angebotswerte!$E$21</t>
  </si>
  <si>
    <t>Batterie2</t>
  </si>
  <si>
    <t>=Eingabe_Angebotswerte!$F$21</t>
  </si>
  <si>
    <t>Batterie3</t>
  </si>
  <si>
    <t>=Eingabe_Angebotswerte!$G$21</t>
  </si>
  <si>
    <t>Batterie4</t>
  </si>
  <si>
    <t>=Eingabe_Angebotswerte!$H$21</t>
  </si>
  <si>
    <t>Batterie5</t>
  </si>
  <si>
    <t>=Eingabe_Angebotswerte!$I$21</t>
  </si>
  <si>
    <t>CO2_1</t>
  </si>
  <si>
    <t>=Eingabe_Angebotswerte!$E$17</t>
  </si>
  <si>
    <t>CO2_2</t>
  </si>
  <si>
    <t>=Eingabe_Angebotswerte!$F$17</t>
  </si>
  <si>
    <t>CO2_3</t>
  </si>
  <si>
    <t>=Eingabe_Angebotswerte!$G$17</t>
  </si>
  <si>
    <t>CO2_4</t>
  </si>
  <si>
    <t>=Eingabe_Angebotswerte!$H$17</t>
  </si>
  <si>
    <t>CO2_5</t>
  </si>
  <si>
    <t>=Eingabe_Angebotswerte!$I$17</t>
  </si>
  <si>
    <t>Energie1</t>
  </si>
  <si>
    <t>=Eingabe_Angebotswerte!$E$8</t>
  </si>
  <si>
    <t>Energie2</t>
  </si>
  <si>
    <t>=Eingabe_Angebotswerte!$F$8</t>
  </si>
  <si>
    <t>Energie3</t>
  </si>
  <si>
    <t>=Eingabe_Angebotswerte!$G$8</t>
  </si>
  <si>
    <t>Energie4</t>
  </si>
  <si>
    <t>=Eingabe_Angebotswerte!$H$8</t>
  </si>
  <si>
    <t>Energie5</t>
  </si>
  <si>
    <t>=Eingabe_Angebotswerte!$I$8</t>
  </si>
  <si>
    <t>Gesamtpreis1</t>
  </si>
  <si>
    <t>=Eingabe_Angebotswerte!$E$13</t>
  </si>
  <si>
    <t>Gesamtpreis2</t>
  </si>
  <si>
    <t>=Eingabe_Angebotswerte!$F$13</t>
  </si>
  <si>
    <t>Gesamtpreis3</t>
  </si>
  <si>
    <t>=Eingabe_Angebotswerte!$G$13</t>
  </si>
  <si>
    <t>Gesamtpreis4</t>
  </si>
  <si>
    <t>=Eingabe_Angebotswerte!$H$13</t>
  </si>
  <si>
    <t>Gesamtpreis5</t>
  </si>
  <si>
    <t>=Eingabe_Angebotswerte!$I$13</t>
  </si>
  <si>
    <t>Hersteller1</t>
  </si>
  <si>
    <t>=Eingabe_Angebotswerte!$E$10</t>
  </si>
  <si>
    <t>Hersteller2</t>
  </si>
  <si>
    <t>=Eingabe_Angebotswerte!$F$10</t>
  </si>
  <si>
    <t>Hersteller3</t>
  </si>
  <si>
    <t>=Eingabe_Angebotswerte!$G$10</t>
  </si>
  <si>
    <t>Hersteller4</t>
  </si>
  <si>
    <t>=Eingabe_Angebotswerte!$H$10</t>
  </si>
  <si>
    <t>Hersteller5</t>
  </si>
  <si>
    <t>=Eingabe_Angebotswerte!$I$10</t>
  </si>
  <si>
    <t>LeasSondZahl1</t>
  </si>
  <si>
    <t>=Eingabe_Angebotswerte!$E$14</t>
  </si>
  <si>
    <t>LeasSondZahl2</t>
  </si>
  <si>
    <t>=Eingabe_Angebotswerte!$F$14</t>
  </si>
  <si>
    <t>LeasSondZahl3</t>
  </si>
  <si>
    <t>=Eingabe_Angebotswerte!$G$14</t>
  </si>
  <si>
    <t>LeasSondZahl4</t>
  </si>
  <si>
    <t>=Eingabe_Angebotswerte!$H$14</t>
  </si>
  <si>
    <t>LeasSondZahl5</t>
  </si>
  <si>
    <t>=Eingabe_Angebotswerte!$I$14</t>
  </si>
  <si>
    <t>Modell1</t>
  </si>
  <si>
    <t>=Eingabe_Angebotswerte!$E$11</t>
  </si>
  <si>
    <t>Modell2</t>
  </si>
  <si>
    <t>=Eingabe_Angebotswerte!$F$11</t>
  </si>
  <si>
    <t>Modell3</t>
  </si>
  <si>
    <t>=Eingabe_Angebotswerte!$G$11</t>
  </si>
  <si>
    <t>Modell4</t>
  </si>
  <si>
    <t>=Eingabe_Angebotswerte!$H$11</t>
  </si>
  <si>
    <t>Modell5</t>
  </si>
  <si>
    <t>=Eingabe_Angebotswerte!$I$11</t>
  </si>
  <si>
    <t>NOX_1</t>
  </si>
  <si>
    <t>=Eingabe_Angebotswerte!$E$18</t>
  </si>
  <si>
    <t>NOX_2</t>
  </si>
  <si>
    <t>=Eingabe_Angebotswerte!$F$18</t>
  </si>
  <si>
    <t>NOX_3</t>
  </si>
  <si>
    <t>=Eingabe_Angebotswerte!$G$18</t>
  </si>
  <si>
    <t>NOX_4</t>
  </si>
  <si>
    <t>=Eingabe_Angebotswerte!$H$18</t>
  </si>
  <si>
    <t>NOX_5</t>
  </si>
  <si>
    <t>=Eingabe_Angebotswerte!$I$18</t>
  </si>
  <si>
    <t>Partikel1</t>
  </si>
  <si>
    <t>=Eingabe_Angebotswerte!$E$19</t>
  </si>
  <si>
    <t>Partikel2</t>
  </si>
  <si>
    <t>=Eingabe_Angebotswerte!$F$19</t>
  </si>
  <si>
    <t>Partikel3</t>
  </si>
  <si>
    <t>=Eingabe_Angebotswerte!$G$19</t>
  </si>
  <si>
    <t>Partikel4</t>
  </si>
  <si>
    <t>=Eingabe_Angebotswerte!$H$19</t>
  </si>
  <si>
    <t>Partikel5</t>
  </si>
  <si>
    <t>=Eingabe_Angebotswerte!$I$19</t>
  </si>
  <si>
    <t>ReichwPHEV1</t>
  </si>
  <si>
    <t>=Eingabe_Angebotswerte!$E$20</t>
  </si>
  <si>
    <t>ReichwPHEV2</t>
  </si>
  <si>
    <t>=Eingabe_Angebotswerte!$F$20</t>
  </si>
  <si>
    <t>ReichwPHEV3</t>
  </si>
  <si>
    <t>=Eingabe_Angebotswerte!$G$20</t>
  </si>
  <si>
    <t>ReichwPHEV4</t>
  </si>
  <si>
    <t>=Eingabe_Angebotswerte!$H$20</t>
  </si>
  <si>
    <t>ReichwPHEV5</t>
  </si>
  <si>
    <t>=Eingabe_Angebotswerte!$I$20</t>
  </si>
  <si>
    <t>VerbEl_WLTP1</t>
  </si>
  <si>
    <t>=Eingabe_Angebotswerte!$E$16</t>
  </si>
  <si>
    <t>VerbEl_WLTP2</t>
  </si>
  <si>
    <t>=Eingabe_Angebotswerte!$F$16</t>
  </si>
  <si>
    <t>VerbEl_WLTP3</t>
  </si>
  <si>
    <t>=Eingabe_Angebotswerte!$G$16</t>
  </si>
  <si>
    <t>VerbEl_WLTP4</t>
  </si>
  <si>
    <t>=Eingabe_Angebotswerte!$H$16</t>
  </si>
  <si>
    <t>VerbEl_WLTP5</t>
  </si>
  <si>
    <t>=Eingabe_Angebotswerte!$I$16</t>
  </si>
  <si>
    <t>Verbrauch1</t>
  </si>
  <si>
    <t>=Eingabe_Angebotswerte!$E$15</t>
  </si>
  <si>
    <t>Verbrauch2</t>
  </si>
  <si>
    <t>=Eingabe_Angebotswerte!$F$15</t>
  </si>
  <si>
    <t>Verbrauch3</t>
  </si>
  <si>
    <t>=Eingabe_Angebotswerte!$G$15</t>
  </si>
  <si>
    <t>Verbrauch4</t>
  </si>
  <si>
    <t>=Eingabe_Angebotswerte!$H$15</t>
  </si>
  <si>
    <t>Verbrauch5</t>
  </si>
  <si>
    <t>=Eingabe_Angebotswerte!$I$15</t>
  </si>
  <si>
    <t>Zusatzinfo1</t>
  </si>
  <si>
    <t>=Eingabe_Angebotswerte!$E$12</t>
  </si>
  <si>
    <t>Zusatzinfo2</t>
  </si>
  <si>
    <t>=Eingabe_Angebotswerte!$F$12</t>
  </si>
  <si>
    <t>Zusatzinfo3</t>
  </si>
  <si>
    <t>=Eingabe_Angebotswerte!$G$12</t>
  </si>
  <si>
    <t>Zusatzinfo4</t>
  </si>
  <si>
    <t>=Eingabe_Angebotswerte!$H$12</t>
  </si>
  <si>
    <t>Zusatzinfo5</t>
  </si>
  <si>
    <t>=Eingabe_Angebotswerte!$I$12</t>
  </si>
  <si>
    <t>EnKostList</t>
  </si>
  <si>
    <t>Kost_NOX</t>
  </si>
  <si>
    <t>Kost_Partikel</t>
  </si>
  <si>
    <t>Kost_THG</t>
  </si>
  <si>
    <t>maxCO2PHEV</t>
  </si>
  <si>
    <t>maxPM</t>
  </si>
  <si>
    <t>minReichwPHEV</t>
  </si>
  <si>
    <t>VerbElPHEV1</t>
  </si>
  <si>
    <t>VerbElPHEV2</t>
  </si>
  <si>
    <t>VerbElPHEV3</t>
  </si>
  <si>
    <t>VerbElPHEV4</t>
  </si>
  <si>
    <t>VerbElPHEV5</t>
  </si>
  <si>
    <t>VerbPHEV1</t>
  </si>
  <si>
    <t>VerbPHEV2</t>
  </si>
  <si>
    <t>VerbPHEV3</t>
  </si>
  <si>
    <t>VerbPHEV4</t>
  </si>
  <si>
    <t>VerbPHEV5</t>
  </si>
  <si>
    <t>Batterie_THG</t>
  </si>
  <si>
    <t>CO2List</t>
  </si>
  <si>
    <t>EnUmrechList</t>
  </si>
  <si>
    <t>AntrArtList</t>
  </si>
  <si>
    <t>EnEinheitList</t>
  </si>
  <si>
    <t>FinArtList</t>
  </si>
  <si>
    <t>=Listen!$B$3:$D$5</t>
  </si>
  <si>
    <t>KaufpreisRechList</t>
  </si>
  <si>
    <t>KostTHGList</t>
  </si>
  <si>
    <t>Quellenverzeichnis</t>
  </si>
  <si>
    <t>ADAC Spritpreis-Entwicklung</t>
  </si>
  <si>
    <t>https://www.adac.de/verkehr/tanken-kraftstoff-antrieb/deutschland/kraftstoffpreisentwicklung/#seit-2021</t>
  </si>
  <si>
    <t xml:space="preserve">https://www.bdew.de/service/daten-und-grafiken/bdew-strompreisanalyse/ </t>
  </si>
  <si>
    <t>BEUC (2016)</t>
  </si>
  <si>
    <t>BEUC (Europäischer Verbraucherverband) - Low carbon cars in the 2020s: Consumer impacts and EU
policy implications</t>
  </si>
  <si>
    <t>https://www.beuc.eu/publications/beuc-x-2016-121_low_carbon_cars_in_the_2020s-report.pdf</t>
  </si>
  <si>
    <t>Analyse der Umweltbilanz von Kraftfahrzeugen mit alternativen Antrieben oder Kraftstoffen auf dem Weg zu einem treibhausgasneutralen Verkehr. Umweltbundesamt.</t>
  </si>
  <si>
    <t>https://www.umweltbundesamt.de/publikationen/analyse-der-umweltbilanz-von-kraftfahrzeugen</t>
  </si>
  <si>
    <t>Entwicklung von geeigneten Instrumenten für die umweltverträgliche Beschaffung von Pkw durch öffentliche Stellen</t>
  </si>
  <si>
    <t>https://www.nachhaltige-oeffentliche-pkw-beschaffung.de/assets/downloads/Abschlussbericht_Umweltvertraegliche_Pkw-Beschaffung_ifeu.pdf</t>
  </si>
  <si>
    <t>Plötz &amp; Jöhrens (2021)</t>
  </si>
  <si>
    <t>Realistic Test Cycle Assessment of Plug-in Hybrid Electric Vehicles in Europe. Fraunhofer ISI.</t>
  </si>
  <si>
    <t>https://www.isi.fraunhofer.de/content/dam/isi/dokumente/cce/2021/BMU_Kurzpapier_UF_final.pdf</t>
  </si>
  <si>
    <t>(Niedrig) 250</t>
  </si>
  <si>
    <t>(Hoch) 860</t>
  </si>
  <si>
    <t>https://www.umweltbundesamt.de/daten/umwelt-wirtschaft/gesellschaftliche-kosten-von-umweltbelastungen#klimakosten-von-treibhausgas-emissionen</t>
  </si>
  <si>
    <t>Daten zur Berechnung des mittleren Strommixes</t>
  </si>
  <si>
    <t>Gesellschaftliche Kosten von Umweltbelastungen - Klimakosten von Treibhausgas-Emissionen (02.07.2024)</t>
  </si>
  <si>
    <t>Angaben zu den Energiekosten</t>
  </si>
  <si>
    <t>Umweltbezogene Mindestanforderungen (Default = Vorschlag aus dem Projekt des ifeu-Instituts)</t>
  </si>
  <si>
    <t>DATENEINGABE Fahrzeugangaben -&gt; wie von den Bietenden abgefragt</t>
  </si>
  <si>
    <t>WICHTIG!</t>
  </si>
  <si>
    <r>
      <rPr>
        <u/>
        <sz val="10"/>
        <rFont val="Arial"/>
        <family val="2"/>
      </rPr>
      <t>HINWEIS</t>
    </r>
    <r>
      <rPr>
        <sz val="10"/>
        <rFont val="Arial"/>
        <family val="2"/>
      </rPr>
      <t xml:space="preserve">
Wenn für die aufgeführten Kategorien keine Mindestanforderung besteht, 
"keine" in das blaue Feld eintragen. 
-&gt; Funktion der Rotfärbung bei 
Abweichung der Angebotswerte (siehe 
Tabellenblatt "Eingabe_Angebotswerte") wird dann ausgeschaltet. 
Siehe FAQ für weitere Informationen.</t>
    </r>
  </si>
  <si>
    <t>THG-Emissionen der Batterieherstellung</t>
  </si>
  <si>
    <t>Verwendeter eigener Wert:</t>
  </si>
  <si>
    <t>Anschaffungsjahr</t>
  </si>
  <si>
    <t>Geben Sie die übergeordneten Informationen zu Ihrem Beschaffungsfall ein. Hier können Informationen wie die erwartete jährliche Fahrleistung, die Art der Beschaffung (Kauf/Leasing) und weitere Informationen eingegeben werden.</t>
  </si>
  <si>
    <t>Ausgangswert (UBA 2024b)</t>
  </si>
  <si>
    <t>UBA (2024a)</t>
  </si>
  <si>
    <t>UBA (2024b)</t>
  </si>
  <si>
    <t>https://www.umweltbundesamt.de/sites/default/files/medien/11850/publikationen/23_2024_cc_strommix_07_2024.pdf</t>
  </si>
  <si>
    <t>Entwicklung der spezifischen Treibhausgas-Emissionen des deutschen Strommix in den Jahren 1990 - 2023</t>
  </si>
  <si>
    <t>https://www.umweltbundesamt.de/publikationen/aktualisierung-tremodtremod-mm-ermittlung-der</t>
  </si>
  <si>
    <t>Aktualisierung TREMOD/TREMOD-MM und Ermittlung der Emissionsdaten des Verkehrs nach KSG im Jahr 2023</t>
  </si>
  <si>
    <t>Allekotte et al. (2024)</t>
  </si>
  <si>
    <t>Daten aus TREMOD (Allekotte et al. 2024), Zwischenwerte sind linear interpoliert</t>
  </si>
  <si>
    <t>Quelle: TREMOD (Allekotte et al. 2024)</t>
  </si>
  <si>
    <t>THG-Emissionen Tailpipe (Tank-to-Wheel) &amp; Vorkette (Well-to-Tank)</t>
  </si>
  <si>
    <t>https://www.transportenvironment.org/uploads/files/legacy/2022_05_TE_LCA_update.pdf.pdf</t>
  </si>
  <si>
    <t>T&amp;E (2022)</t>
  </si>
  <si>
    <t>UPDATE - T&amp;Eʼs analysis of electric car lifecycle CO₂ emissions</t>
  </si>
  <si>
    <t>Fügen Sie die abgefragten Daten aus den Angeboten für alle Fahrzeuge ein. Die Datenabfrage wird der Ausschreibung beigefügt und umfasst u.a. den Preis, Verbrauchs- und Emissionsangaben und die Batteriegröße.</t>
  </si>
  <si>
    <t>Pro Fahrzeug-Angebot finden Sie hier eine Ergebnisübersicht, die als PDF gespeichert/gedruckt werden kann.</t>
  </si>
  <si>
    <t>DATENEINGABE Fahrzeug-Beschaffungsprojekt</t>
  </si>
  <si>
    <t>Jahresfahrleistung pro Fahrzeug</t>
  </si>
  <si>
    <t>Hinweis: Es sollten nur Fahrzeuge aus der gleichen Ausschreibung mit gleichem Nutzen (z.B. Nutzlast, Sitzplätze etc.) verglichen werden.</t>
  </si>
  <si>
    <t>ERGEBNISSE LEBENSZYKLUSKOSTEN</t>
  </si>
  <si>
    <t>ERGEBNISSE UMWELTKOSTEN</t>
  </si>
  <si>
    <t>Externe Umweltkosten</t>
  </si>
  <si>
    <t>Externe Umweltkosten Diagramm (gesamte Haltedauer)</t>
  </si>
  <si>
    <t>RECHENBLATT FAHRZEUG 5</t>
  </si>
  <si>
    <t>RECHENBLATT FAHRZEUG 4</t>
  </si>
  <si>
    <t>RECHENBLATT FAHRZEUG 3</t>
  </si>
  <si>
    <t>RECHENBLATT FAHRZEUG 2</t>
  </si>
  <si>
    <t>RECHENBLATT FAHRZEUG 1</t>
  </si>
  <si>
    <t>Wertminderung (bei gekauften Fahrzeugen)</t>
  </si>
  <si>
    <r>
      <t>t CO</t>
    </r>
    <r>
      <rPr>
        <b/>
        <vertAlign val="subscript"/>
        <sz val="10"/>
        <rFont val="Arial"/>
        <family val="2"/>
      </rPr>
      <t>2</t>
    </r>
    <r>
      <rPr>
        <b/>
        <sz val="10"/>
        <rFont val="Arial"/>
        <family val="2"/>
      </rPr>
      <t>eq</t>
    </r>
  </si>
  <si>
    <t>Summe Treibhausgasemissionen</t>
  </si>
  <si>
    <t>Beschaffungsprojekt</t>
  </si>
  <si>
    <t>BDEW (2024)</t>
  </si>
  <si>
    <t>BDEW-Strompreisanalyse Juli 2024</t>
  </si>
  <si>
    <t>CNG-Club (2024)</t>
  </si>
  <si>
    <t>https://www.cng-club.de/cng_tankstellen_deutschland_europa</t>
  </si>
  <si>
    <t>In Deutschland und Europa: Problemlos unterwegs mit CNG</t>
  </si>
  <si>
    <t>ADAC (2024)</t>
  </si>
  <si>
    <t>https://www.lichtblick.de/ladesaeulencheck/</t>
  </si>
  <si>
    <t>Ladesäulencheck 2024: Laden unterwegs teurer als Tanken (30.04.2024)</t>
  </si>
  <si>
    <t>LichtBlick (2024)</t>
  </si>
  <si>
    <t>Kfz-Steuer</t>
  </si>
  <si>
    <t>Treibhausgasemissionen Betrieb und Vorkette (Scope 1 und 2)</t>
  </si>
  <si>
    <t>Hinweis: Mit &gt; Datei &gt; Speichern unter &gt; Dateityp: PDF können Sie diese Übersicht zur Dokumenation speichern.</t>
  </si>
  <si>
    <t>THG-Emissionen [g CO₂eq/kWh]</t>
  </si>
  <si>
    <t>Weitere jährliche Kosten</t>
  </si>
  <si>
    <r>
      <t xml:space="preserve">1 </t>
    </r>
    <r>
      <rPr>
        <sz val="11"/>
        <color rgb="FF000000"/>
        <rFont val="Arial"/>
        <family val="2"/>
      </rPr>
      <t xml:space="preserve">Die Stromkosten werden zusätzlich in Abhängigkeit des Anteils Laden eigene Säule/öffentlich (Reiter </t>
    </r>
    <r>
      <rPr>
        <i/>
        <sz val="11"/>
        <color rgb="FF000000"/>
        <rFont val="Arial"/>
        <family val="2"/>
      </rPr>
      <t>Input_Beschaffung</t>
    </r>
    <r>
      <rPr>
        <sz val="11"/>
        <color rgb="FF000000"/>
        <rFont val="Arial"/>
        <family val="2"/>
      </rPr>
      <t>) berechnet.</t>
    </r>
  </si>
  <si>
    <r>
      <t xml:space="preserve">2 </t>
    </r>
    <r>
      <rPr>
        <sz val="11"/>
        <color rgb="FF000000"/>
        <rFont val="Arial"/>
        <family val="2"/>
      </rPr>
      <t>Die CO</t>
    </r>
    <r>
      <rPr>
        <vertAlign val="subscript"/>
        <sz val="11"/>
        <color rgb="FF000000"/>
        <rFont val="Arial"/>
        <family val="2"/>
      </rPr>
      <t>2</t>
    </r>
    <r>
      <rPr>
        <sz val="11"/>
        <color rgb="FF000000"/>
        <rFont val="Arial"/>
        <family val="2"/>
      </rPr>
      <t xml:space="preserve">-Kosten lassen sich zusätzlich im Reiter </t>
    </r>
    <r>
      <rPr>
        <i/>
        <sz val="11"/>
        <color rgb="FF000000"/>
        <rFont val="Arial"/>
        <family val="2"/>
      </rPr>
      <t>Input_Beschaffung</t>
    </r>
    <r>
      <rPr>
        <sz val="11"/>
        <color rgb="FF000000"/>
        <rFont val="Arial"/>
        <family val="2"/>
      </rPr>
      <t xml:space="preserve"> einstellen.</t>
    </r>
  </si>
  <si>
    <t>PHEV - Verbrennermodus</t>
  </si>
  <si>
    <t>=Emissionsfaktoren!$B$23:$D$26</t>
  </si>
  <si>
    <t>=Input_Beschaffung!$C$11</t>
  </si>
  <si>
    <t>=Erg.Fzg._1!$F$5:$F$8</t>
  </si>
  <si>
    <t>=Erg.Fzg._2!$F$5:$F$8</t>
  </si>
  <si>
    <t>=Erg.Fzg._3!$F$5:$F$8</t>
  </si>
  <si>
    <t>=Erg.Fzg._4!$F$5:$F$8</t>
  </si>
  <si>
    <t>=Erg.Fzg._5!$F$5:$F$8</t>
  </si>
  <si>
    <t>=Emissionsfaktoren!$B$15:$E$17</t>
  </si>
  <si>
    <t>=Input_Beschaffung!$C$6</t>
  </si>
  <si>
    <t>=Input_Beschaffung!$C$13</t>
  </si>
  <si>
    <t>=Input_Beschaffung!$C$9</t>
  </si>
  <si>
    <t>=Erg.Fzg._1!$C$23</t>
  </si>
  <si>
    <t>=Erg.Fzg._2!$C$23</t>
  </si>
  <si>
    <t>=Erg.Fzg._3!$C$23</t>
  </si>
  <si>
    <t>=Erg.Fzg._4!$C$23</t>
  </si>
  <si>
    <t>=Erg.Fzg._5!$C$23</t>
  </si>
  <si>
    <t>=Erg.Fzg._1!$C$22</t>
  </si>
  <si>
    <t>=Erg.Fzg._2!$C$22</t>
  </si>
  <si>
    <t>=Erg.Fzg._3!$C$22</t>
  </si>
  <si>
    <t>=Erg.Fzg._4!$C$22</t>
  </si>
  <si>
    <t>=Erg.Fzg._5!$C$22</t>
  </si>
  <si>
    <t>Zusatzangabe_x</t>
  </si>
  <si>
    <t>Zusatzangabe_x1</t>
  </si>
  <si>
    <t>Zusatzangabe_x2</t>
  </si>
  <si>
    <t>Zusatzangabe_x3</t>
  </si>
  <si>
    <t>Zusatzangabe_x4</t>
  </si>
  <si>
    <t>Zusatzangabe_x5</t>
  </si>
  <si>
    <t>Zusatzangabe_y</t>
  </si>
  <si>
    <t>=Eingabe_Angebotswerte!$C$25</t>
  </si>
  <si>
    <t>Zusatzangabe_y1</t>
  </si>
  <si>
    <t>=Eingabe_Angebotswerte!$E$25</t>
  </si>
  <si>
    <t>Zusatzangabe_y2</t>
  </si>
  <si>
    <t>=Eingabe_Angebotswerte!$F$25</t>
  </si>
  <si>
    <t>Zusatzangabe_y3</t>
  </si>
  <si>
    <t>=Eingabe_Angebotswerte!$G$25</t>
  </si>
  <si>
    <t>Zusatzangabe_y4</t>
  </si>
  <si>
    <t>=Eingabe_Angebotswerte!$H$25</t>
  </si>
  <si>
    <t>Zusatzangabe_y5</t>
  </si>
  <si>
    <t>=Eingabe_Angebotswerte!$I$25</t>
  </si>
  <si>
    <t>Zusatzangabe_z</t>
  </si>
  <si>
    <t>=Eingabe_Angebotswerte!$C$26</t>
  </si>
  <si>
    <t>Zusatzangabe_z1</t>
  </si>
  <si>
    <t>=Eingabe_Angebotswerte!$E$26</t>
  </si>
  <si>
    <t>Zusatzangabe_z2</t>
  </si>
  <si>
    <t>=Eingabe_Angebotswerte!$F$26</t>
  </si>
  <si>
    <t>Zusatzangabe_z3</t>
  </si>
  <si>
    <t>=Eingabe_Angebotswerte!$G$26</t>
  </si>
  <si>
    <t>Zusatzangabe_z4</t>
  </si>
  <si>
    <t>=Eingabe_Angebotswerte!$H$26</t>
  </si>
  <si>
    <t>Zusatzangabe_z5</t>
  </si>
  <si>
    <t>=Eingabe_Angebotswerte!$I$26</t>
  </si>
  <si>
    <t>=Input_Beschaffung!$C$10</t>
  </si>
  <si>
    <t>-</t>
  </si>
  <si>
    <t>PHEV - elektrischer Modus</t>
  </si>
  <si>
    <t>max_Verbrauch_PHEV_kWh</t>
  </si>
  <si>
    <t>max_Verbrauch_PHEV_l</t>
  </si>
  <si>
    <t>max_Verbrauch_Verbrenner</t>
  </si>
  <si>
    <t>Auf den jeweiligen Tabellenblättern Erg.Fzg._1-5 Felder F5-F8,</t>
  </si>
  <si>
    <t>Laderaummaße</t>
  </si>
  <si>
    <t>Min. Zuladung</t>
  </si>
  <si>
    <t>Höhe ≥ 1,4 m oder Länge ≥ 3,0 m</t>
  </si>
  <si>
    <t>alle</t>
  </si>
  <si>
    <t>Geringere oder keine Anforderung</t>
  </si>
  <si>
    <t>N1-I</t>
  </si>
  <si>
    <t>N1-II</t>
  </si>
  <si>
    <t>N1-III</t>
  </si>
  <si>
    <t>Fahrzeugklasse</t>
  </si>
  <si>
    <t>N1-I bis N1-III</t>
  </si>
  <si>
    <t>Lebenszykluskosten-Rechner für leichte Nutzfahrzeuge (LNF) - beispielhaft mit Daten befüllt</t>
  </si>
  <si>
    <r>
      <t xml:space="preserve">Mit dem vorliegenden Excel-Tool können die Lebenszykluskosten (LZK) von leichten Nutzfahrzeugen (LNF) berechnet werden. Der LZK-Rechner wurde vom ifeu entwickelt. Fördergeber waren die Deutsche Bundesstiftung Umwelt sowie die Bundesländer Berlin und Brandenburg.
Das Tool richtet sich in erster Linie an Personen im Beschaffungsprozess, kann aber auch anderen Nutzendengruppen wie Fachexpert*innen, OEMs oder Autohäusern dienlich sein. Bei komplexen Beschaffungen wird die Zusammenarbeit mit Fachexpert*innen empfohlen, die beim Befüllen der gefragten Daten unterstützen.
</t>
    </r>
    <r>
      <rPr>
        <b/>
        <sz val="10"/>
        <color theme="1"/>
        <rFont val="Arial"/>
        <family val="2"/>
      </rPr>
      <t>Wichtige Hinweise:</t>
    </r>
    <r>
      <rPr>
        <sz val="10"/>
        <color rgb="FFFF0000"/>
        <rFont val="Arial"/>
        <family val="2"/>
      </rPr>
      <t xml:space="preserve">
</t>
    </r>
    <r>
      <rPr>
        <sz val="10"/>
        <rFont val="Arial"/>
        <family val="2"/>
      </rPr>
      <t>Alle Kosten sind in EUR brutto (nach Steuern) einzugeben.</t>
    </r>
    <r>
      <rPr>
        <sz val="10"/>
        <color theme="1"/>
        <rFont val="Arial"/>
        <family val="2"/>
      </rPr>
      <t xml:space="preserve">
Für die korrekte Ausführung des Rechners wird mindestens die Excel-Version 2016 (oder aktueller) benötigt.
Der hier vorliegende LZK-Rechner ist noch nicht Bestandteil von Landesvorschriften.</t>
    </r>
  </si>
  <si>
    <t>700 - &lt;1000 kg</t>
  </si>
  <si>
    <t>1000 - &lt;1300 kg</t>
  </si>
  <si>
    <t>≥ 1300 kg</t>
  </si>
  <si>
    <t>≥ 1000 kg</t>
  </si>
  <si>
    <t>Fahrzeugklassen</t>
  </si>
  <si>
    <t>N1-I (zGG 
&lt; 1.305 kg)</t>
  </si>
  <si>
    <t>N1-II (zGG 
1.305 - 1.760 kg)</t>
  </si>
  <si>
    <t>N1-III (zGG 
&gt; 1.760 kg)</t>
  </si>
  <si>
    <t>Peugeot</t>
  </si>
  <si>
    <t>Expert</t>
  </si>
  <si>
    <t>Kastenwagen Standard BlueHDi 120 S&amp;S</t>
  </si>
  <si>
    <t>Toyota</t>
  </si>
  <si>
    <t>Proace City</t>
  </si>
  <si>
    <t>Kastenwagen L2 1.5 D-4D Select (4-Türer)</t>
  </si>
  <si>
    <t>Fiat</t>
  </si>
  <si>
    <t>Scudo</t>
  </si>
  <si>
    <t>Kastenwagen L2 2.0 Multijet 145</t>
  </si>
  <si>
    <t>E-Scudo</t>
  </si>
  <si>
    <t>Combo Electric</t>
  </si>
  <si>
    <t>Kastenwagen L2 (50 kWh)</t>
  </si>
  <si>
    <t>Cargo L1H1 Heavy</t>
  </si>
  <si>
    <t>=Listen!$B$12:$B$14</t>
  </si>
  <si>
    <t>=Grunddaten!$I$53</t>
  </si>
  <si>
    <t>=Eingabe_Angebotswerte!$E$22</t>
  </si>
  <si>
    <t>=Eingabe_Angebotswerte!$F$22</t>
  </si>
  <si>
    <t>=Eingabe_Angebotswerte!$G$22</t>
  </si>
  <si>
    <t>=Eingabe_Angebotswerte!$H$22</t>
  </si>
  <si>
    <t>=Eingabe_Angebotswerte!$I$22</t>
  </si>
  <si>
    <t>=Listen!$B$24:$D$27</t>
  </si>
  <si>
    <t>=Grunddaten!$B$35:$I$40</t>
  </si>
  <si>
    <t>=Listen!$B$8:$B$9</t>
  </si>
  <si>
    <t>=Grunddaten!$I$48</t>
  </si>
  <si>
    <t>=Grunddaten!$I$49</t>
  </si>
  <si>
    <t>=Grunddaten!$I$46</t>
  </si>
  <si>
    <t>=Grunddaten!$I$19</t>
  </si>
  <si>
    <t>=Grunddaten!$I$18</t>
  </si>
  <si>
    <t>=Grunddaten!$I$17</t>
  </si>
  <si>
    <t>=Grunddaten!$I$7</t>
  </si>
  <si>
    <t>=Grunddaten!$I$12</t>
  </si>
  <si>
    <t>=Grunddaten!$I$8</t>
  </si>
  <si>
    <t>=Grunddaten!$I$13</t>
  </si>
  <si>
    <t>=Grunddaten!$I$14</t>
  </si>
  <si>
    <t>=Grunddaten!$I$21</t>
  </si>
  <si>
    <t>=Grunddaten!$I$24</t>
  </si>
  <si>
    <t>=Grunddaten!$I$25</t>
  </si>
  <si>
    <t>=Eingabe_Angebotswerte!$C$27</t>
  </si>
  <si>
    <t>=Eingabe_Angebotswerte!$E$27</t>
  </si>
  <si>
    <t>=Eingabe_Angebotswerte!$F$27</t>
  </si>
  <si>
    <t>=Eingabe_Angebotswerte!$G$27</t>
  </si>
  <si>
    <t>=Eingabe_Angebotswerte!$H$27</t>
  </si>
  <si>
    <t>=Eingabe_Angebotswerte!$I$27</t>
  </si>
  <si>
    <t>Geforderte Laderaummaße</t>
  </si>
  <si>
    <t>Fahrzeugklasse - abhängig von zulässigem Gesamtgewicht (zGG)</t>
  </si>
  <si>
    <t>Geforderte Zuladung</t>
  </si>
  <si>
    <t>&lt;700 kg</t>
  </si>
  <si>
    <t>keine Anforderung</t>
  </si>
  <si>
    <t>Los 1 - Kauf von einem leichten Nutzfahrzeug mit einer Zuladung von mind. 800 kg</t>
  </si>
  <si>
    <t>Version 1.0 - 23.10.2024</t>
  </si>
  <si>
    <t>Die ausführliche Dokumentation finden Sie als PDF unter</t>
  </si>
  <si>
    <t>https://www.nachhaltige-oeffentliche-pkw-beschaffung.de/assets/downloads/LZK-Rechner_Fahrzeuge_Dokumentation.pdf</t>
  </si>
  <si>
    <t>=Input_Beschaffung!$C$20</t>
  </si>
  <si>
    <t>=Input_Beschaffung!$C$16</t>
  </si>
  <si>
    <t>Fahrzeugklasse1</t>
  </si>
  <si>
    <t>Fahrzeugklasse2</t>
  </si>
  <si>
    <t>Fahrzeugklasse3</t>
  </si>
  <si>
    <t>Fahrzeugklasse4</t>
  </si>
  <si>
    <t>Fahrzeugklasse5</t>
  </si>
  <si>
    <t>=Input_Beschaffung!$C$18</t>
  </si>
  <si>
    <t>=Input_Beschaffung!$C$22</t>
  </si>
  <si>
    <t>=Input_Beschaffung!$C$24</t>
  </si>
  <si>
    <t>=Listen!$B$46:$B$47</t>
  </si>
  <si>
    <t>=Input_Beschaffung!$C$27</t>
  </si>
  <si>
    <t>Laderaum</t>
  </si>
  <si>
    <t>maxCO2_1000kg</t>
  </si>
  <si>
    <t>=Grunddaten!$I$9</t>
  </si>
  <si>
    <t>maxCO2_1300kg</t>
  </si>
  <si>
    <t>=Grunddaten!$I$10</t>
  </si>
  <si>
    <t>maxCO2_700kg</t>
  </si>
  <si>
    <t>maxCO2_größer1300kg</t>
  </si>
  <si>
    <t>=Grunddaten!$I$11</t>
  </si>
  <si>
    <t>maxCO2_Laderaum</t>
  </si>
  <si>
    <t>maxkWh_1000kg</t>
  </si>
  <si>
    <t>=Grunddaten!$I$15</t>
  </si>
  <si>
    <t>maxkWh_700kg</t>
  </si>
  <si>
    <t>maxkWh_größer1000kg</t>
  </si>
  <si>
    <t>=Grunddaten!$I$16</t>
  </si>
  <si>
    <t>maxkWh_Laderaum</t>
  </si>
  <si>
    <t>maxNOX_N1I</t>
  </si>
  <si>
    <t>maxNOX_N1II</t>
  </si>
  <si>
    <t>=Grunddaten!$I$22</t>
  </si>
  <si>
    <t>maxNOX_N1III</t>
  </si>
  <si>
    <t>=Grunddaten!$I$23</t>
  </si>
  <si>
    <t>N1I</t>
  </si>
  <si>
    <t>=Listen!$B$41</t>
  </si>
  <si>
    <t>N1II</t>
  </si>
  <si>
    <t>=Listen!$B$42</t>
  </si>
  <si>
    <t>N1III</t>
  </si>
  <si>
    <t>=Listen!$B$43</t>
  </si>
  <si>
    <t>Projektname</t>
  </si>
  <si>
    <t>Zuladung</t>
  </si>
  <si>
    <t>=Input_Beschaffung!$C$14</t>
  </si>
  <si>
    <t>Ladeverhalten Elektrofahrzeug</t>
  </si>
  <si>
    <r>
      <t>Der Excel-Rechner ist</t>
    </r>
    <r>
      <rPr>
        <b/>
        <sz val="10"/>
        <color theme="1"/>
        <rFont val="Arial"/>
        <family val="2"/>
      </rPr>
      <t xml:space="preserve"> ohne Passwort</t>
    </r>
    <r>
      <rPr>
        <sz val="10"/>
        <color theme="1"/>
        <rFont val="Arial"/>
        <family val="2"/>
      </rPr>
      <t xml:space="preserve"> geschützt. Der Blattschutz kann unter "Überprüfen -&gt; Blattschutz aufheben" aufgehoben werden.
</t>
    </r>
    <r>
      <rPr>
        <sz val="10"/>
        <rFont val="Arial"/>
        <family val="2"/>
      </rPr>
      <t xml:space="preserve">Das Tool kann grundsätzlich nach eigenen Bedürfnissen über die vorgesehenen Anpassungsmöglichkeiten hinaus angepasst werden. 
</t>
    </r>
    <r>
      <rPr>
        <sz val="10"/>
        <color theme="1"/>
        <rFont val="Arial"/>
        <family val="2"/>
      </rPr>
      <t>Es ist jedoch zu berücksichtigen, dass dadurch Berechnungsfehler entstehen können. Die Verantwortung liegt bei der Person, die den Rechner angepasst hat.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</si>
</sst>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
    <numFmt numFmtId="166" formatCode="_ * #,##0.00_ ;_ * \-#,##0.00_ ;_ * &quot;-&quot;??_ ;_ @_ "/>
    <numFmt numFmtId="167" formatCode="0.000"/>
  </numFmts>
  <fonts count="6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0"/>
      <name val="Arial"/>
      <family val="2"/>
    </font>
    <font>
      <b/>
      <sz val="11"/>
      <name val="Arial"/>
      <family val="2"/>
    </font>
    <font>
      <sz val="11"/>
      <name val="Arial"/>
      <family val="2"/>
    </font>
    <font>
      <sz val="11"/>
      <color theme="2" tint="0.59999389629810485"/>
      <name val="Arial"/>
      <family val="2"/>
    </font>
    <font>
      <vertAlign val="subscript"/>
      <sz val="11"/>
      <name val="Arial"/>
      <family val="2"/>
    </font>
    <font>
      <sz val="11"/>
      <color theme="0"/>
      <name val="Arial"/>
      <family val="2"/>
    </font>
    <font>
      <sz val="11"/>
      <color rgb="FFFF0000"/>
      <name val="Arial"/>
      <family val="2"/>
    </font>
    <font>
      <sz val="11"/>
      <color rgb="FF00B0F0"/>
      <name val="Arial"/>
      <family val="2"/>
    </font>
    <font>
      <sz val="10"/>
      <color theme="1"/>
      <name val="Arial"/>
      <family val="2"/>
    </font>
    <font>
      <u/>
      <sz val="11"/>
      <color theme="1"/>
      <name val="Arial"/>
      <family val="2"/>
    </font>
    <font>
      <sz val="8"/>
      <color rgb="FF9C6500"/>
      <name val="Calibri"/>
      <family val="2"/>
      <scheme val="minor"/>
    </font>
    <font>
      <sz val="9"/>
      <color rgb="FF9C6500"/>
      <name val="Calibri"/>
      <family val="2"/>
      <scheme val="minor"/>
    </font>
    <font>
      <vertAlign val="subscript"/>
      <sz val="11"/>
      <color theme="1"/>
      <name val="Arial"/>
      <family val="2"/>
    </font>
    <font>
      <sz val="9"/>
      <color indexed="81"/>
      <name val="Segoe UI"/>
      <family val="2"/>
    </font>
    <font>
      <u/>
      <sz val="10"/>
      <color theme="10"/>
      <name val="Arial"/>
      <family val="2"/>
    </font>
    <font>
      <sz val="10"/>
      <name val="Arial"/>
      <family val="2"/>
    </font>
    <font>
      <vertAlign val="subscript"/>
      <sz val="10"/>
      <name val="Arial"/>
      <family val="2"/>
    </font>
    <font>
      <b/>
      <sz val="10"/>
      <name val="Arial"/>
      <family val="2"/>
    </font>
    <font>
      <b/>
      <sz val="10"/>
      <color theme="1"/>
      <name val="Arial"/>
      <family val="2"/>
    </font>
    <font>
      <i/>
      <sz val="11"/>
      <color rgb="FFFF0000"/>
      <name val="Arial"/>
      <family val="2"/>
    </font>
    <font>
      <sz val="11"/>
      <color theme="0" tint="-0.34998626667073579"/>
      <name val="Arial"/>
      <family val="2"/>
    </font>
    <font>
      <b/>
      <vertAlign val="subscript"/>
      <sz val="11"/>
      <color theme="1"/>
      <name val="Arial"/>
      <family val="2"/>
    </font>
    <font>
      <sz val="11"/>
      <color theme="8" tint="0.39997558519241921"/>
      <name val="Arial"/>
      <family val="2"/>
    </font>
    <font>
      <sz val="11"/>
      <color theme="2" tint="0.79998168889431442"/>
      <name val="Arial"/>
      <family val="2"/>
    </font>
    <font>
      <sz val="11"/>
      <color theme="0" tint="-0.14999847407452621"/>
      <name val="Arial"/>
      <family val="2"/>
    </font>
    <font>
      <i/>
      <sz val="11"/>
      <color theme="1"/>
      <name val="Arial"/>
      <family val="2"/>
    </font>
    <font>
      <sz val="9"/>
      <color theme="1"/>
      <name val="Arial"/>
      <family val="2"/>
    </font>
    <font>
      <u/>
      <sz val="9"/>
      <color theme="10"/>
      <name val="Arial"/>
      <family val="2"/>
    </font>
    <font>
      <b/>
      <sz val="11"/>
      <color theme="0"/>
      <name val="Webdings"/>
      <family val="1"/>
      <charset val="2"/>
    </font>
    <font>
      <b/>
      <sz val="11"/>
      <color theme="0"/>
      <name val="Arial"/>
      <family val="2"/>
    </font>
    <font>
      <sz val="11"/>
      <color theme="8"/>
      <name val="Arial"/>
      <family val="2"/>
    </font>
    <font>
      <sz val="9"/>
      <name val="Arial"/>
      <family val="2"/>
    </font>
    <font>
      <sz val="8"/>
      <color rgb="FF3F3F76"/>
      <name val="Calibri"/>
      <family val="2"/>
      <scheme val="minor"/>
    </font>
    <font>
      <sz val="10"/>
      <color theme="1"/>
      <name val="Symbol"/>
      <family val="1"/>
      <charset val="2"/>
    </font>
    <font>
      <i/>
      <sz val="10"/>
      <color theme="1"/>
      <name val="Arial"/>
      <family val="2"/>
    </font>
    <font>
      <b/>
      <sz val="10"/>
      <color theme="2"/>
      <name val="Arial"/>
      <family val="2"/>
    </font>
    <font>
      <sz val="11"/>
      <color theme="2"/>
      <name val="Arial"/>
      <family val="2"/>
    </font>
    <font>
      <b/>
      <sz val="11"/>
      <color theme="2"/>
      <name val="Webdings"/>
      <family val="1"/>
      <charset val="2"/>
    </font>
    <font>
      <b/>
      <sz val="11"/>
      <color theme="2"/>
      <name val="Arial"/>
      <family val="2"/>
    </font>
    <font>
      <b/>
      <sz val="12"/>
      <color theme="0"/>
      <name val="Arial"/>
      <family val="2"/>
    </font>
    <font>
      <b/>
      <i/>
      <u/>
      <sz val="12"/>
      <color theme="0"/>
      <name val="Arial"/>
      <family val="2"/>
    </font>
    <font>
      <sz val="11"/>
      <name val="Calibri"/>
      <family val="2"/>
      <scheme val="minor"/>
    </font>
    <font>
      <sz val="10"/>
      <color theme="0"/>
      <name val="Arial"/>
      <family val="2"/>
    </font>
    <font>
      <i/>
      <sz val="10"/>
      <color theme="0"/>
      <name val="Arial"/>
      <family val="2"/>
    </font>
    <font>
      <vertAlign val="superscript"/>
      <sz val="11"/>
      <color rgb="FF000000"/>
      <name val="Arial"/>
      <family val="2"/>
    </font>
    <font>
      <sz val="11"/>
      <color rgb="FF000000"/>
      <name val="Arial"/>
      <family val="2"/>
    </font>
    <font>
      <i/>
      <sz val="11"/>
      <color rgb="FF000000"/>
      <name val="Arial"/>
      <family val="2"/>
    </font>
    <font>
      <vertAlign val="subscript"/>
      <sz val="11"/>
      <color rgb="FF000000"/>
      <name val="Arial"/>
      <family val="2"/>
    </font>
    <font>
      <u/>
      <sz val="10"/>
      <name val="Arial"/>
      <family val="2"/>
    </font>
    <font>
      <u/>
      <sz val="10"/>
      <color rgb="FF0070C0"/>
      <name val="Arial"/>
      <family val="2"/>
    </font>
    <font>
      <sz val="9"/>
      <color theme="8" tint="0.79998168889431442"/>
      <name val="Arial"/>
      <family val="2"/>
    </font>
    <font>
      <u/>
      <sz val="11"/>
      <color rgb="FF0070C0"/>
      <name val="Arial"/>
      <family val="2"/>
    </font>
    <font>
      <sz val="10"/>
      <color rgb="FFFF0000"/>
      <name val="Arial"/>
      <family val="2"/>
    </font>
    <font>
      <u/>
      <sz val="11"/>
      <color theme="10"/>
      <name val="Arial"/>
      <family val="2"/>
    </font>
    <font>
      <b/>
      <u/>
      <sz val="11"/>
      <color theme="10"/>
      <name val="Arial"/>
      <family val="2"/>
    </font>
    <font>
      <sz val="11"/>
      <color theme="2" tint="0.39997558519241921"/>
      <name val="Arial"/>
      <family val="2"/>
    </font>
    <font>
      <b/>
      <vertAlign val="subscript"/>
      <sz val="10"/>
      <name val="Arial"/>
      <family val="2"/>
    </font>
  </fonts>
  <fills count="22">
    <fill>
      <patternFill patternType="none"/>
    </fill>
    <fill>
      <patternFill patternType="gray125"/>
    </fill>
    <fill>
      <patternFill patternType="solid">
        <fgColor rgb="FFFFEB9C"/>
      </patternFill>
    </fill>
    <fill>
      <patternFill patternType="solid">
        <fgColor theme="3"/>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C99"/>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2" tint="0.59999389629810485"/>
        <bgColor indexed="64"/>
      </patternFill>
    </fill>
    <fill>
      <patternFill patternType="solid">
        <fgColor theme="9" tint="0.59999389629810485"/>
        <bgColor indexed="64"/>
      </patternFill>
    </fill>
    <fill>
      <patternFill patternType="solid">
        <fgColor rgb="FF99CCFF"/>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7D7D"/>
        <bgColor indexed="64"/>
      </patternFill>
    </fill>
    <fill>
      <patternFill patternType="solid">
        <fgColor rgb="FF33CCCC"/>
        <bgColor indexed="64"/>
      </patternFill>
    </fill>
    <fill>
      <patternFill patternType="solid">
        <fgColor theme="3" tint="-0.249977111117893"/>
        <bgColor indexed="64"/>
      </patternFill>
    </fill>
    <fill>
      <patternFill patternType="solid">
        <fgColor rgb="FFB9DCFF"/>
        <bgColor indexed="64"/>
      </patternFill>
    </fill>
  </fills>
  <borders count="68">
    <border>
      <left/>
      <right/>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right style="thin">
        <color theme="3"/>
      </right>
      <top style="thin">
        <color theme="3"/>
      </top>
      <bottom/>
      <diagonal/>
    </border>
    <border>
      <left/>
      <right/>
      <top style="thin">
        <color theme="3"/>
      </top>
      <bottom style="thin">
        <color theme="3"/>
      </bottom>
      <diagonal/>
    </border>
    <border>
      <left/>
      <right/>
      <top style="thin">
        <color theme="3"/>
      </top>
      <bottom/>
      <diagonal/>
    </border>
    <border>
      <left style="thin">
        <color theme="3"/>
      </left>
      <right/>
      <top style="thin">
        <color theme="3"/>
      </top>
      <bottom/>
      <diagonal/>
    </border>
    <border>
      <left style="thin">
        <color theme="3"/>
      </left>
      <right/>
      <top style="thin">
        <color theme="3"/>
      </top>
      <bottom style="double">
        <color theme="3"/>
      </bottom>
      <diagonal/>
    </border>
    <border>
      <left/>
      <right/>
      <top style="thin">
        <color theme="3"/>
      </top>
      <bottom style="double">
        <color theme="3"/>
      </bottom>
      <diagonal/>
    </border>
    <border>
      <left/>
      <right style="thin">
        <color theme="3"/>
      </right>
      <top style="thin">
        <color theme="3"/>
      </top>
      <bottom style="double">
        <color theme="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medium">
        <color theme="0"/>
      </right>
      <top/>
      <bottom/>
      <diagonal/>
    </border>
    <border>
      <left style="thin">
        <color theme="3"/>
      </left>
      <right/>
      <top style="thin">
        <color theme="3"/>
      </top>
      <bottom style="thin">
        <color theme="3"/>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3"/>
      </left>
      <right/>
      <top style="double">
        <color theme="3"/>
      </top>
      <bottom style="double">
        <color theme="3"/>
      </bottom>
      <diagonal/>
    </border>
    <border>
      <left style="thin">
        <color theme="0"/>
      </left>
      <right style="thin">
        <color theme="0"/>
      </right>
      <top/>
      <bottom/>
      <diagonal/>
    </border>
    <border>
      <left style="thin">
        <color theme="3"/>
      </left>
      <right style="thin">
        <color theme="0"/>
      </right>
      <top style="thin">
        <color theme="3"/>
      </top>
      <bottom style="thin">
        <color theme="3"/>
      </bottom>
      <diagonal/>
    </border>
    <border>
      <left style="thin">
        <color theme="0"/>
      </left>
      <right style="thin">
        <color theme="3"/>
      </right>
      <top style="thin">
        <color theme="3"/>
      </top>
      <bottom style="thin">
        <color theme="3"/>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1" tint="0.499984740745262"/>
      </left>
      <right style="thin">
        <color theme="0"/>
      </right>
      <top style="thin">
        <color theme="0"/>
      </top>
      <bottom style="thin">
        <color theme="0"/>
      </bottom>
      <diagonal/>
    </border>
    <border>
      <left style="thin">
        <color theme="0"/>
      </left>
      <right style="thin">
        <color theme="1" tint="0.499984740745262"/>
      </right>
      <top style="thin">
        <color theme="0"/>
      </top>
      <bottom style="thin">
        <color theme="0"/>
      </bottom>
      <diagonal/>
    </border>
    <border>
      <left style="thin">
        <color theme="1" tint="0.499984740745262"/>
      </left>
      <right style="thin">
        <color theme="0"/>
      </right>
      <top style="thin">
        <color theme="0"/>
      </top>
      <bottom style="thin">
        <color theme="1" tint="0.499984740745262"/>
      </bottom>
      <diagonal/>
    </border>
    <border>
      <left style="thin">
        <color theme="0"/>
      </left>
      <right style="thin">
        <color theme="0"/>
      </right>
      <top style="thin">
        <color theme="0"/>
      </top>
      <bottom style="thin">
        <color theme="1" tint="0.499984740745262"/>
      </bottom>
      <diagonal/>
    </border>
    <border>
      <left style="thin">
        <color theme="0"/>
      </left>
      <right style="thin">
        <color theme="1" tint="0.499984740745262"/>
      </right>
      <top style="thin">
        <color theme="0"/>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theme="3"/>
      </right>
      <top/>
      <bottom style="thin">
        <color theme="0"/>
      </bottom>
      <diagonal/>
    </border>
    <border>
      <left style="thin">
        <color theme="3"/>
      </left>
      <right style="thin">
        <color theme="3"/>
      </right>
      <top style="thin">
        <color theme="3"/>
      </top>
      <bottom/>
      <diagonal/>
    </border>
    <border>
      <left style="thin">
        <color theme="1" tint="0.499984740745262"/>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indexed="64"/>
      </top>
      <bottom style="thin">
        <color theme="0"/>
      </bottom>
      <diagonal/>
    </border>
    <border>
      <left/>
      <right style="thin">
        <color theme="0"/>
      </right>
      <top style="thin">
        <color theme="3"/>
      </top>
      <bottom style="thin">
        <color theme="3"/>
      </bottom>
      <diagonal/>
    </border>
    <border>
      <left/>
      <right style="thin">
        <color theme="0"/>
      </right>
      <top/>
      <bottom style="thin">
        <color theme="3"/>
      </bottom>
      <diagonal/>
    </border>
    <border>
      <left style="thin">
        <color theme="0"/>
      </left>
      <right style="thin">
        <color theme="0"/>
      </right>
      <top style="thin">
        <color theme="3"/>
      </top>
      <bottom style="thin">
        <color theme="3"/>
      </bottom>
      <diagonal/>
    </border>
    <border>
      <left style="thin">
        <color theme="0"/>
      </left>
      <right style="thin">
        <color theme="0"/>
      </right>
      <top/>
      <bottom style="thin">
        <color theme="3"/>
      </bottom>
      <diagonal/>
    </border>
    <border>
      <left style="thin">
        <color theme="0"/>
      </left>
      <right/>
      <top style="thin">
        <color theme="3"/>
      </top>
      <bottom style="thin">
        <color theme="3"/>
      </bottom>
      <diagonal/>
    </border>
  </borders>
  <cellStyleXfs count="12">
    <xf numFmtId="0" fontId="0" fillId="0" borderId="0"/>
    <xf numFmtId="9" fontId="1" fillId="0" borderId="0" applyFont="0" applyFill="0" applyBorder="0" applyAlignment="0" applyProtection="0"/>
    <xf numFmtId="0" fontId="14" fillId="2" borderId="0" applyNumberFormat="0" applyBorder="0" applyAlignment="0" applyProtection="0"/>
    <xf numFmtId="0" fontId="12" fillId="0" borderId="0"/>
    <xf numFmtId="0" fontId="18" fillId="0" borderId="0" applyNumberFormat="0" applyFill="0" applyBorder="0" applyAlignment="0" applyProtection="0"/>
    <xf numFmtId="44" fontId="1" fillId="0" borderId="0" applyFont="0" applyFill="0" applyBorder="0" applyAlignment="0" applyProtection="0"/>
    <xf numFmtId="0" fontId="36" fillId="6" borderId="35" applyNumberFormat="0" applyAlignment="0" applyProtection="0"/>
    <xf numFmtId="0" fontId="19" fillId="0" borderId="0"/>
    <xf numFmtId="0" fontId="19" fillId="0" borderId="0"/>
    <xf numFmtId="9" fontId="12" fillId="0" borderId="0" applyFont="0" applyFill="0" applyBorder="0" applyAlignment="0" applyProtection="0"/>
    <xf numFmtId="166" fontId="12" fillId="0" borderId="0" applyFont="0" applyFill="0" applyBorder="0" applyAlignment="0" applyProtection="0"/>
    <xf numFmtId="44" fontId="1" fillId="0" borderId="0" applyFont="0" applyFill="0" applyBorder="0" applyAlignment="0" applyProtection="0"/>
  </cellStyleXfs>
  <cellXfs count="474">
    <xf numFmtId="0" fontId="0" fillId="0" borderId="0" xfId="0"/>
    <xf numFmtId="0" fontId="2" fillId="0" borderId="0" xfId="0" applyFont="1"/>
    <xf numFmtId="0" fontId="3" fillId="0" borderId="0" xfId="0" applyFont="1"/>
    <xf numFmtId="0" fontId="4" fillId="3" borderId="0" xfId="0" applyFont="1" applyFill="1"/>
    <xf numFmtId="0" fontId="4" fillId="3" borderId="0" xfId="0" applyFont="1" applyFill="1" applyAlignment="1">
      <alignment horizontal="right"/>
    </xf>
    <xf numFmtId="0" fontId="2" fillId="3" borderId="0" xfId="0" applyFont="1" applyFill="1"/>
    <xf numFmtId="0" fontId="2" fillId="0" borderId="1" xfId="0" applyFont="1" applyBorder="1"/>
    <xf numFmtId="0" fontId="6" fillId="0" borderId="0" xfId="0" applyFont="1"/>
    <xf numFmtId="0" fontId="7" fillId="0" borderId="0" xfId="0" applyFont="1"/>
    <xf numFmtId="0" fontId="2" fillId="0" borderId="7" xfId="0" applyFont="1" applyBorder="1"/>
    <xf numFmtId="0" fontId="2" fillId="0" borderId="0" xfId="0" applyFont="1" applyAlignment="1">
      <alignment horizontal="center"/>
    </xf>
    <xf numFmtId="0" fontId="10" fillId="0" borderId="0" xfId="0" applyFont="1"/>
    <xf numFmtId="0" fontId="2" fillId="0" borderId="0" xfId="0" applyFont="1" applyAlignment="1">
      <alignment horizontal="left"/>
    </xf>
    <xf numFmtId="0" fontId="2" fillId="0" borderId="0" xfId="0" applyFont="1" applyAlignment="1">
      <alignment horizontal="center" wrapText="1"/>
    </xf>
    <xf numFmtId="0" fontId="11" fillId="0" borderId="0" xfId="0" applyFont="1"/>
    <xf numFmtId="0" fontId="6" fillId="0" borderId="0" xfId="0" applyFont="1" applyAlignment="1">
      <alignment horizontal="center"/>
    </xf>
    <xf numFmtId="0" fontId="4" fillId="3" borderId="0" xfId="3" applyFont="1" applyFill="1"/>
    <xf numFmtId="0" fontId="12" fillId="3" borderId="0" xfId="3" applyFill="1"/>
    <xf numFmtId="0" fontId="12" fillId="0" borderId="0" xfId="0" applyFont="1"/>
    <xf numFmtId="0" fontId="12" fillId="0" borderId="0" xfId="0" applyFont="1" applyAlignment="1">
      <alignment horizontal="center"/>
    </xf>
    <xf numFmtId="0" fontId="22" fillId="0" borderId="0" xfId="0" applyFont="1" applyAlignment="1">
      <alignment vertical="center"/>
    </xf>
    <xf numFmtId="0" fontId="4" fillId="3" borderId="10" xfId="0" applyFont="1" applyFill="1" applyBorder="1" applyAlignment="1">
      <alignment horizontal="center"/>
    </xf>
    <xf numFmtId="0" fontId="4" fillId="3" borderId="8" xfId="0" applyFont="1" applyFill="1" applyBorder="1" applyAlignment="1">
      <alignment horizontal="center"/>
    </xf>
    <xf numFmtId="0" fontId="12" fillId="0" borderId="0" xfId="0" quotePrefix="1" applyFont="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22" fillId="0" borderId="5" xfId="0" applyFont="1" applyBorder="1" applyAlignment="1">
      <alignment horizontal="center" wrapText="1"/>
    </xf>
    <xf numFmtId="0" fontId="19" fillId="0" borderId="1" xfId="0" applyFont="1" applyBorder="1" applyAlignment="1">
      <alignment wrapText="1"/>
    </xf>
    <xf numFmtId="0" fontId="19" fillId="0" borderId="0" xfId="0" applyFont="1"/>
    <xf numFmtId="0" fontId="12" fillId="0" borderId="3" xfId="0" applyFont="1" applyBorder="1" applyAlignment="1">
      <alignment wrapText="1"/>
    </xf>
    <xf numFmtId="0" fontId="22" fillId="0" borderId="0" xfId="0" applyFont="1"/>
    <xf numFmtId="0" fontId="19" fillId="0" borderId="0" xfId="0" applyFont="1" applyAlignment="1">
      <alignment horizontal="left" vertical="center"/>
    </xf>
    <xf numFmtId="165" fontId="12" fillId="0" borderId="0" xfId="0" applyNumberFormat="1" applyFont="1" applyAlignment="1">
      <alignment horizontal="center" vertical="center"/>
    </xf>
    <xf numFmtId="0" fontId="4" fillId="0" borderId="0" xfId="0" applyFont="1" applyAlignment="1">
      <alignment horizontal="center" vertical="center"/>
    </xf>
    <xf numFmtId="0" fontId="12" fillId="0" borderId="1" xfId="0" applyFont="1" applyBorder="1" applyAlignment="1">
      <alignment vertical="center" wrapText="1"/>
    </xf>
    <xf numFmtId="165" fontId="12" fillId="0" borderId="4" xfId="0" applyNumberFormat="1" applyFont="1" applyBorder="1" applyAlignment="1">
      <alignment horizontal="center" vertical="center"/>
    </xf>
    <xf numFmtId="165" fontId="12" fillId="0" borderId="5" xfId="0" applyNumberFormat="1" applyFont="1" applyBorder="1" applyAlignment="1">
      <alignment horizontal="center" vertical="center"/>
    </xf>
    <xf numFmtId="0" fontId="12" fillId="0" borderId="1" xfId="0" applyFont="1" applyBorder="1" applyAlignment="1">
      <alignment horizontal="right"/>
    </xf>
    <xf numFmtId="0" fontId="22" fillId="0" borderId="3" xfId="0" applyFont="1" applyBorder="1"/>
    <xf numFmtId="0" fontId="12" fillId="0" borderId="4" xfId="0" quotePrefix="1" applyFont="1" applyBorder="1" applyAlignment="1">
      <alignment horizontal="center"/>
    </xf>
    <xf numFmtId="0" fontId="22" fillId="0" borderId="4" xfId="0" applyFont="1" applyBorder="1" applyAlignment="1">
      <alignment horizontal="center" wrapText="1"/>
    </xf>
    <xf numFmtId="3" fontId="12" fillId="0" borderId="0" xfId="0" applyNumberFormat="1" applyFont="1" applyAlignment="1">
      <alignment horizontal="center"/>
    </xf>
    <xf numFmtId="3" fontId="12" fillId="0" borderId="2" xfId="0" applyNumberFormat="1" applyFont="1" applyBorder="1" applyAlignment="1">
      <alignment horizontal="center"/>
    </xf>
    <xf numFmtId="3" fontId="19" fillId="0" borderId="0" xfId="0" applyNumberFormat="1" applyFont="1" applyAlignment="1">
      <alignment horizontal="center"/>
    </xf>
    <xf numFmtId="3" fontId="19" fillId="0" borderId="2" xfId="0" applyNumberFormat="1" applyFont="1" applyBorder="1" applyAlignment="1">
      <alignment horizontal="center"/>
    </xf>
    <xf numFmtId="0" fontId="12" fillId="0" borderId="1" xfId="0" applyFont="1" applyBorder="1" applyAlignment="1">
      <alignment wrapText="1"/>
    </xf>
    <xf numFmtId="0" fontId="12" fillId="0" borderId="4" xfId="0" applyFont="1" applyBorder="1"/>
    <xf numFmtId="3" fontId="12" fillId="0" borderId="4" xfId="0" applyNumberFormat="1" applyFont="1" applyBorder="1" applyAlignment="1">
      <alignment horizontal="center"/>
    </xf>
    <xf numFmtId="3" fontId="12" fillId="0" borderId="5" xfId="0" applyNumberFormat="1" applyFont="1" applyBorder="1" applyAlignment="1">
      <alignment horizontal="center"/>
    </xf>
    <xf numFmtId="0" fontId="22" fillId="0" borderId="12" xfId="0" applyFont="1" applyBorder="1" applyAlignment="1">
      <alignment wrapText="1"/>
    </xf>
    <xf numFmtId="0" fontId="22" fillId="0" borderId="13" xfId="0" applyFont="1" applyBorder="1"/>
    <xf numFmtId="3" fontId="22" fillId="0" borderId="13" xfId="0" applyNumberFormat="1" applyFont="1" applyBorder="1" applyAlignment="1">
      <alignment horizontal="center"/>
    </xf>
    <xf numFmtId="3" fontId="22" fillId="0" borderId="14" xfId="0" applyNumberFormat="1" applyFont="1" applyBorder="1" applyAlignment="1">
      <alignment horizontal="center"/>
    </xf>
    <xf numFmtId="165" fontId="12" fillId="0" borderId="2" xfId="0" applyNumberFormat="1" applyFont="1" applyBorder="1" applyAlignment="1">
      <alignment horizontal="center" vertical="center"/>
    </xf>
    <xf numFmtId="0" fontId="3" fillId="0" borderId="0" xfId="0" applyFont="1" applyAlignment="1">
      <alignment horizontal="left"/>
    </xf>
    <xf numFmtId="0" fontId="2" fillId="0" borderId="15" xfId="0" applyFont="1" applyBorder="1"/>
    <xf numFmtId="0" fontId="2" fillId="0" borderId="0" xfId="0" applyFont="1" applyAlignment="1">
      <alignment vertical="top"/>
    </xf>
    <xf numFmtId="0" fontId="3" fillId="0" borderId="0" xfId="0" applyFont="1" applyAlignment="1">
      <alignment vertical="top"/>
    </xf>
    <xf numFmtId="0" fontId="2" fillId="0" borderId="0" xfId="0" applyFont="1" applyAlignment="1">
      <alignment horizontal="right"/>
    </xf>
    <xf numFmtId="0" fontId="24" fillId="0" borderId="0" xfId="0" applyFont="1"/>
    <xf numFmtId="0" fontId="3" fillId="0" borderId="4" xfId="0" applyFont="1" applyBorder="1"/>
    <xf numFmtId="0" fontId="3" fillId="0" borderId="4" xfId="0" applyFont="1" applyBorder="1" applyAlignment="1">
      <alignment horizontal="center" wrapText="1"/>
    </xf>
    <xf numFmtId="0" fontId="3" fillId="0" borderId="4" xfId="0" applyFont="1" applyBorder="1" applyAlignment="1">
      <alignment horizontal="center"/>
    </xf>
    <xf numFmtId="0" fontId="3" fillId="0" borderId="0" xfId="0" applyFont="1" applyAlignment="1">
      <alignment horizontal="center"/>
    </xf>
    <xf numFmtId="0" fontId="3" fillId="0" borderId="13" xfId="0" applyFont="1" applyBorder="1"/>
    <xf numFmtId="0" fontId="5" fillId="0" borderId="0" xfId="0" applyFont="1"/>
    <xf numFmtId="0" fontId="4" fillId="0" borderId="0" xfId="0" applyFont="1"/>
    <xf numFmtId="0" fontId="26" fillId="0" borderId="0" xfId="0" applyFont="1"/>
    <xf numFmtId="0" fontId="2" fillId="0" borderId="10" xfId="0" applyFont="1" applyBorder="1"/>
    <xf numFmtId="0" fontId="23" fillId="0" borderId="0" xfId="0" applyFont="1"/>
    <xf numFmtId="0" fontId="27" fillId="0" borderId="0" xfId="0" applyFont="1"/>
    <xf numFmtId="0" fontId="28" fillId="0" borderId="0" xfId="0" applyFont="1"/>
    <xf numFmtId="0" fontId="2" fillId="0" borderId="4" xfId="0" applyFont="1" applyBorder="1"/>
    <xf numFmtId="0" fontId="6" fillId="0" borderId="0" xfId="0" applyFont="1" applyAlignment="1">
      <alignment horizontal="right"/>
    </xf>
    <xf numFmtId="0" fontId="6" fillId="0" borderId="0" xfId="0" applyFont="1" applyAlignment="1">
      <alignment horizontal="left"/>
    </xf>
    <xf numFmtId="0" fontId="22" fillId="0" borderId="30" xfId="0" applyFont="1" applyBorder="1" applyAlignment="1">
      <alignment wrapText="1"/>
    </xf>
    <xf numFmtId="0" fontId="29" fillId="0" borderId="24" xfId="0" applyFont="1" applyBorder="1"/>
    <xf numFmtId="0" fontId="29" fillId="0" borderId="0" xfId="0" applyFont="1"/>
    <xf numFmtId="0" fontId="2" fillId="0" borderId="20" xfId="0" applyFont="1" applyBorder="1"/>
    <xf numFmtId="0" fontId="2" fillId="0" borderId="28" xfId="0" applyFont="1" applyBorder="1"/>
    <xf numFmtId="0" fontId="2" fillId="0" borderId="17" xfId="0" applyFont="1" applyBorder="1"/>
    <xf numFmtId="0" fontId="2" fillId="0" borderId="31" xfId="0" applyFont="1" applyBorder="1"/>
    <xf numFmtId="0" fontId="29" fillId="0" borderId="19" xfId="0" applyFont="1" applyBorder="1"/>
    <xf numFmtId="0" fontId="29" fillId="0" borderId="9" xfId="0" applyFont="1" applyBorder="1"/>
    <xf numFmtId="0" fontId="29" fillId="0" borderId="6" xfId="0" applyFont="1" applyBorder="1"/>
    <xf numFmtId="3" fontId="29" fillId="0" borderId="32" xfId="0" applyNumberFormat="1" applyFont="1" applyBorder="1"/>
    <xf numFmtId="0" fontId="2" fillId="0" borderId="33" xfId="0" applyFont="1" applyBorder="1"/>
    <xf numFmtId="0" fontId="29" fillId="0" borderId="32" xfId="0" applyFont="1" applyBorder="1"/>
    <xf numFmtId="0" fontId="3" fillId="0" borderId="15" xfId="0" applyFont="1" applyBorder="1"/>
    <xf numFmtId="0" fontId="22" fillId="3" borderId="0" xfId="0" applyFont="1" applyFill="1"/>
    <xf numFmtId="0" fontId="3" fillId="0" borderId="4" xfId="0" applyFont="1" applyBorder="1" applyAlignment="1">
      <alignment wrapText="1"/>
    </xf>
    <xf numFmtId="0" fontId="2" fillId="0" borderId="0" xfId="0" applyFont="1" applyAlignment="1">
      <alignment vertical="center"/>
    </xf>
    <xf numFmtId="0" fontId="30" fillId="0" borderId="0" xfId="0" applyFont="1"/>
    <xf numFmtId="0" fontId="2" fillId="3" borderId="0" xfId="0" applyFont="1" applyFill="1" applyAlignment="1">
      <alignment horizontal="center"/>
    </xf>
    <xf numFmtId="2" fontId="2" fillId="0" borderId="0" xfId="0" applyNumberFormat="1" applyFont="1"/>
    <xf numFmtId="0" fontId="31" fillId="0" borderId="0" xfId="4" applyFont="1"/>
    <xf numFmtId="1" fontId="2" fillId="0" borderId="0" xfId="0" applyNumberFormat="1" applyFont="1"/>
    <xf numFmtId="0" fontId="32" fillId="4" borderId="0" xfId="0" applyFont="1" applyFill="1" applyAlignment="1">
      <alignment horizontal="center" vertical="center"/>
    </xf>
    <xf numFmtId="0" fontId="12" fillId="0" borderId="3" xfId="0" applyFont="1" applyBorder="1" applyAlignment="1">
      <alignment vertical="center" wrapText="1"/>
    </xf>
    <xf numFmtId="0" fontId="19" fillId="0" borderId="4" xfId="0" applyFont="1" applyBorder="1" applyAlignment="1">
      <alignment horizontal="left" vertical="center"/>
    </xf>
    <xf numFmtId="0" fontId="2" fillId="0" borderId="2" xfId="0" applyFont="1" applyBorder="1" applyAlignment="1">
      <alignment horizontal="center"/>
    </xf>
    <xf numFmtId="0" fontId="2" fillId="0" borderId="5" xfId="0" applyFont="1" applyBorder="1" applyAlignment="1">
      <alignment horizontal="center"/>
    </xf>
    <xf numFmtId="0" fontId="2" fillId="0" borderId="16" xfId="0" applyFont="1" applyBorder="1" applyAlignment="1">
      <alignment vertical="top"/>
    </xf>
    <xf numFmtId="0" fontId="32" fillId="0" borderId="0" xfId="0" applyFont="1" applyAlignment="1">
      <alignment horizontal="center" vertical="center"/>
    </xf>
    <xf numFmtId="0" fontId="30" fillId="0" borderId="0" xfId="0" applyFont="1" applyAlignment="1">
      <alignment horizontal="center"/>
    </xf>
    <xf numFmtId="0" fontId="30" fillId="0" borderId="0" xfId="0" applyFont="1" applyAlignment="1">
      <alignment horizontal="left"/>
    </xf>
    <xf numFmtId="0" fontId="18" fillId="0" borderId="0" xfId="4"/>
    <xf numFmtId="0" fontId="34" fillId="0" borderId="0" xfId="0" applyFont="1"/>
    <xf numFmtId="0" fontId="21" fillId="0" borderId="1" xfId="0" applyFont="1" applyBorder="1" applyAlignment="1">
      <alignment wrapText="1"/>
    </xf>
    <xf numFmtId="0" fontId="34" fillId="0" borderId="0" xfId="0" applyFont="1" applyAlignment="1">
      <alignment vertical="top"/>
    </xf>
    <xf numFmtId="0" fontId="6" fillId="0" borderId="34" xfId="0" applyFont="1" applyBorder="1"/>
    <xf numFmtId="2" fontId="6" fillId="0" borderId="0" xfId="0" applyNumberFormat="1" applyFont="1" applyAlignment="1">
      <alignment horizontal="left"/>
    </xf>
    <xf numFmtId="0" fontId="12" fillId="0" borderId="0" xfId="3"/>
    <xf numFmtId="0" fontId="12" fillId="0" borderId="0" xfId="3" applyAlignment="1">
      <alignment horizontal="center"/>
    </xf>
    <xf numFmtId="0" fontId="12" fillId="0" borderId="0" xfId="3" applyAlignment="1">
      <alignment vertical="top" wrapText="1"/>
    </xf>
    <xf numFmtId="0" fontId="4" fillId="0" borderId="0" xfId="3" applyFont="1"/>
    <xf numFmtId="0" fontId="12" fillId="5" borderId="36" xfId="3" applyFill="1" applyBorder="1" applyAlignment="1">
      <alignment horizontal="center"/>
    </xf>
    <xf numFmtId="0" fontId="12" fillId="0" borderId="36" xfId="3" applyBorder="1" applyAlignment="1">
      <alignment horizontal="center"/>
    </xf>
    <xf numFmtId="0" fontId="29" fillId="10" borderId="0" xfId="0" applyFont="1" applyFill="1"/>
    <xf numFmtId="0" fontId="2" fillId="10" borderId="0" xfId="0" applyFont="1" applyFill="1"/>
    <xf numFmtId="3" fontId="3" fillId="0" borderId="3" xfId="0" applyNumberFormat="1" applyFont="1" applyBorder="1" applyAlignment="1">
      <alignment horizontal="center"/>
    </xf>
    <xf numFmtId="3" fontId="3" fillId="0" borderId="4" xfId="0" applyNumberFormat="1" applyFont="1" applyBorder="1" applyAlignment="1">
      <alignment horizontal="left"/>
    </xf>
    <xf numFmtId="3" fontId="3" fillId="0" borderId="4" xfId="0" applyNumberFormat="1" applyFont="1" applyBorder="1" applyAlignment="1">
      <alignment horizontal="center"/>
    </xf>
    <xf numFmtId="3" fontId="3" fillId="0" borderId="4" xfId="0" applyNumberFormat="1" applyFont="1" applyBorder="1" applyAlignment="1">
      <alignment horizontal="right"/>
    </xf>
    <xf numFmtId="0" fontId="39" fillId="0" borderId="18" xfId="0" applyFont="1" applyBorder="1" applyAlignment="1">
      <alignment horizontal="center" vertical="center"/>
    </xf>
    <xf numFmtId="0" fontId="40" fillId="0" borderId="0" xfId="0" applyFont="1"/>
    <xf numFmtId="0" fontId="41" fillId="0" borderId="0" xfId="0" applyFont="1" applyAlignment="1">
      <alignment horizontal="center" vertical="center"/>
    </xf>
    <xf numFmtId="3" fontId="40" fillId="0" borderId="0" xfId="0" applyNumberFormat="1" applyFont="1"/>
    <xf numFmtId="0" fontId="37" fillId="0" borderId="0" xfId="3" applyFont="1" applyAlignment="1">
      <alignment horizontal="left"/>
    </xf>
    <xf numFmtId="0" fontId="12" fillId="0" borderId="0" xfId="3" applyAlignment="1">
      <alignment horizontal="left" vertical="top"/>
    </xf>
    <xf numFmtId="0" fontId="3" fillId="0" borderId="0" xfId="0" applyFont="1" applyAlignment="1">
      <alignment vertical="center" wrapText="1"/>
    </xf>
    <xf numFmtId="0" fontId="3" fillId="0" borderId="0" xfId="0" applyFont="1" applyAlignment="1">
      <alignment vertical="center"/>
    </xf>
    <xf numFmtId="0" fontId="30" fillId="3" borderId="0" xfId="0" applyFont="1" applyFill="1"/>
    <xf numFmtId="0" fontId="42" fillId="0" borderId="0" xfId="0" applyFont="1"/>
    <xf numFmtId="0" fontId="2" fillId="0" borderId="4" xfId="0" applyFont="1" applyBorder="1" applyAlignment="1">
      <alignment horizontal="center"/>
    </xf>
    <xf numFmtId="0" fontId="2" fillId="12" borderId="0" xfId="0" applyFont="1" applyFill="1"/>
    <xf numFmtId="164" fontId="2" fillId="0" borderId="0" xfId="0" applyNumberFormat="1" applyFont="1"/>
    <xf numFmtId="0" fontId="2" fillId="8" borderId="0" xfId="0" applyFont="1" applyFill="1"/>
    <xf numFmtId="0" fontId="32" fillId="4" borderId="27" xfId="0" applyFont="1" applyFill="1" applyBorder="1" applyAlignment="1">
      <alignment horizontal="center" vertical="center"/>
    </xf>
    <xf numFmtId="0" fontId="2" fillId="9" borderId="15"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wrapText="1"/>
      <protection locked="0"/>
    </xf>
    <xf numFmtId="3" fontId="2" fillId="5" borderId="15" xfId="5" applyNumberFormat="1" applyFont="1" applyFill="1" applyBorder="1" applyAlignment="1" applyProtection="1">
      <alignment horizontal="center" vertical="center"/>
      <protection locked="0"/>
    </xf>
    <xf numFmtId="0" fontId="43" fillId="3" borderId="0" xfId="3" applyFont="1" applyFill="1"/>
    <xf numFmtId="0" fontId="44" fillId="3" borderId="0" xfId="3" applyFont="1" applyFill="1" applyAlignment="1">
      <alignment horizontal="center"/>
    </xf>
    <xf numFmtId="0" fontId="2" fillId="0" borderId="4" xfId="0" applyFont="1" applyBorder="1" applyAlignment="1">
      <alignment horizontal="left"/>
    </xf>
    <xf numFmtId="0" fontId="9" fillId="0" borderId="0" xfId="0" applyFont="1"/>
    <xf numFmtId="0" fontId="3" fillId="0" borderId="0" xfId="0" applyFont="1" applyAlignment="1">
      <alignment horizontal="right"/>
    </xf>
    <xf numFmtId="0" fontId="22" fillId="0" borderId="4" xfId="0" applyFont="1" applyBorder="1" applyAlignment="1">
      <alignment horizontal="center" vertical="top" wrapText="1"/>
    </xf>
    <xf numFmtId="0" fontId="22" fillId="0" borderId="5" xfId="0" applyFont="1" applyBorder="1" applyAlignment="1">
      <alignment horizontal="center" vertical="top" wrapText="1"/>
    </xf>
    <xf numFmtId="14" fontId="2" fillId="5" borderId="15" xfId="0" applyNumberFormat="1" applyFont="1" applyFill="1" applyBorder="1" applyAlignment="1" applyProtection="1">
      <alignment horizontal="left"/>
      <protection locked="0"/>
    </xf>
    <xf numFmtId="0" fontId="2" fillId="5" borderId="15" xfId="0" applyFont="1" applyFill="1" applyBorder="1" applyAlignment="1" applyProtection="1">
      <alignment horizontal="center"/>
      <protection locked="0"/>
    </xf>
    <xf numFmtId="3" fontId="2" fillId="5" borderId="15" xfId="0" applyNumberFormat="1" applyFont="1" applyFill="1" applyBorder="1" applyAlignment="1" applyProtection="1">
      <alignment horizontal="center"/>
      <protection locked="0"/>
    </xf>
    <xf numFmtId="3" fontId="2" fillId="9" borderId="15" xfId="0" applyNumberFormat="1" applyFont="1" applyFill="1" applyBorder="1" applyAlignment="1" applyProtection="1">
      <alignment horizontal="center"/>
      <protection locked="0"/>
    </xf>
    <xf numFmtId="0" fontId="33" fillId="3" borderId="0" xfId="0" applyFont="1" applyFill="1"/>
    <xf numFmtId="0" fontId="33" fillId="3" borderId="26" xfId="0" applyFont="1" applyFill="1" applyBorder="1"/>
    <xf numFmtId="0" fontId="33" fillId="3" borderId="27" xfId="0" applyFont="1" applyFill="1" applyBorder="1"/>
    <xf numFmtId="0" fontId="33" fillId="3" borderId="28" xfId="0" applyFont="1" applyFill="1" applyBorder="1"/>
    <xf numFmtId="0" fontId="6" fillId="0" borderId="15" xfId="0" applyFont="1" applyBorder="1"/>
    <xf numFmtId="0" fontId="33" fillId="0" borderId="20" xfId="0" applyFont="1" applyBorder="1"/>
    <xf numFmtId="0" fontId="33" fillId="0" borderId="20" xfId="0" applyFont="1" applyBorder="1" applyAlignment="1">
      <alignment horizontal="center"/>
    </xf>
    <xf numFmtId="0" fontId="3" fillId="0" borderId="15" xfId="0" applyFont="1" applyBorder="1" applyAlignment="1">
      <alignment horizontal="center"/>
    </xf>
    <xf numFmtId="0" fontId="2" fillId="0" borderId="15" xfId="0" applyFont="1" applyBorder="1" applyAlignment="1">
      <alignment vertical="center"/>
    </xf>
    <xf numFmtId="0" fontId="6" fillId="0" borderId="15" xfId="0" applyFont="1" applyBorder="1" applyAlignment="1">
      <alignment vertical="center"/>
    </xf>
    <xf numFmtId="0" fontId="6" fillId="0" borderId="0" xfId="0" applyFont="1" applyAlignment="1">
      <alignment vertical="center"/>
    </xf>
    <xf numFmtId="0" fontId="2" fillId="0" borderId="15" xfId="0" applyFont="1" applyBorder="1" applyAlignment="1">
      <alignment vertical="center" wrapText="1"/>
    </xf>
    <xf numFmtId="0" fontId="2" fillId="0" borderId="16" xfId="0" applyFont="1" applyBorder="1" applyAlignment="1">
      <alignment horizontal="center" vertical="center"/>
    </xf>
    <xf numFmtId="0" fontId="45" fillId="0" borderId="0" xfId="6" applyFont="1" applyFill="1" applyBorder="1" applyAlignment="1" applyProtection="1">
      <alignment vertical="center"/>
    </xf>
    <xf numFmtId="0" fontId="2" fillId="0" borderId="15" xfId="0" applyFont="1" applyBorder="1" applyAlignment="1">
      <alignment horizontal="center" vertical="center"/>
    </xf>
    <xf numFmtId="14" fontId="2" fillId="0" borderId="15" xfId="0" applyNumberFormat="1" applyFont="1" applyBorder="1"/>
    <xf numFmtId="0" fontId="13" fillId="0" borderId="0" xfId="0" applyFont="1"/>
    <xf numFmtId="0" fontId="2" fillId="0" borderId="7" xfId="1" applyNumberFormat="1" applyFont="1" applyFill="1" applyBorder="1" applyAlignment="1" applyProtection="1">
      <alignment horizontal="center"/>
    </xf>
    <xf numFmtId="0" fontId="15" fillId="0" borderId="0" xfId="2" applyFont="1" applyFill="1" applyProtection="1"/>
    <xf numFmtId="0" fontId="15" fillId="0" borderId="0" xfId="2" applyFont="1" applyFill="1" applyAlignment="1" applyProtection="1">
      <alignment horizontal="center"/>
    </xf>
    <xf numFmtId="0" fontId="12" fillId="7" borderId="0" xfId="3" applyFill="1" applyAlignment="1">
      <alignment horizontal="left" vertical="center" wrapText="1"/>
    </xf>
    <xf numFmtId="0" fontId="12" fillId="9" borderId="36" xfId="3" applyFill="1" applyBorder="1" applyAlignment="1">
      <alignment horizontal="center" vertical="center"/>
    </xf>
    <xf numFmtId="0" fontId="2" fillId="0" borderId="0" xfId="0" applyFont="1" applyAlignment="1">
      <alignment horizontal="left" vertical="center" wrapText="1"/>
    </xf>
    <xf numFmtId="0" fontId="47" fillId="0" borderId="19" xfId="0" applyFont="1" applyBorder="1"/>
    <xf numFmtId="0" fontId="47" fillId="0" borderId="9" xfId="0" quotePrefix="1" applyFont="1" applyBorder="1" applyAlignment="1">
      <alignment horizontal="left"/>
    </xf>
    <xf numFmtId="3" fontId="47" fillId="0" borderId="9" xfId="0" applyNumberFormat="1" applyFont="1" applyBorder="1" applyAlignment="1">
      <alignment horizontal="center" wrapText="1"/>
    </xf>
    <xf numFmtId="3" fontId="47" fillId="0" borderId="6" xfId="0" applyNumberFormat="1" applyFont="1" applyBorder="1" applyAlignment="1">
      <alignment horizontal="center" wrapText="1"/>
    </xf>
    <xf numFmtId="3" fontId="6" fillId="0" borderId="0" xfId="0" applyNumberFormat="1" applyFont="1"/>
    <xf numFmtId="0" fontId="10" fillId="0" borderId="0" xfId="0" applyFont="1" applyAlignment="1">
      <alignment vertical="center"/>
    </xf>
    <xf numFmtId="0" fontId="3" fillId="0" borderId="15" xfId="0" applyFont="1" applyBorder="1" applyAlignment="1">
      <alignment horizontal="left" vertical="center"/>
    </xf>
    <xf numFmtId="0" fontId="6" fillId="0" borderId="4" xfId="0" applyFont="1" applyBorder="1"/>
    <xf numFmtId="0" fontId="3" fillId="0" borderId="20" xfId="0" applyFont="1" applyBorder="1" applyAlignment="1">
      <alignment horizontal="left" vertical="center" wrapText="1"/>
    </xf>
    <xf numFmtId="0" fontId="2" fillId="0" borderId="9" xfId="0" applyFont="1" applyBorder="1"/>
    <xf numFmtId="0" fontId="5" fillId="0" borderId="9" xfId="0" applyFont="1" applyBorder="1"/>
    <xf numFmtId="0" fontId="32" fillId="0" borderId="0" xfId="0" applyFont="1" applyAlignment="1">
      <alignment vertical="center"/>
    </xf>
    <xf numFmtId="0" fontId="3" fillId="10" borderId="0" xfId="0" applyFont="1" applyFill="1"/>
    <xf numFmtId="0" fontId="2" fillId="10" borderId="0" xfId="0" applyFont="1" applyFill="1" applyAlignment="1">
      <alignment horizontal="center"/>
    </xf>
    <xf numFmtId="0" fontId="7" fillId="10" borderId="0" xfId="0" applyFont="1" applyFill="1"/>
    <xf numFmtId="0" fontId="3" fillId="16" borderId="0" xfId="0" applyFont="1" applyFill="1"/>
    <xf numFmtId="0" fontId="2" fillId="16" borderId="0" xfId="0" applyFont="1" applyFill="1"/>
    <xf numFmtId="0" fontId="2" fillId="16" borderId="0" xfId="0" applyFont="1" applyFill="1" applyAlignment="1">
      <alignment horizontal="center"/>
    </xf>
    <xf numFmtId="0" fontId="6" fillId="16" borderId="0" xfId="0" applyFont="1" applyFill="1" applyAlignment="1">
      <alignment horizontal="center"/>
    </xf>
    <xf numFmtId="0" fontId="2" fillId="16" borderId="2" xfId="0" applyFont="1" applyFill="1" applyBorder="1"/>
    <xf numFmtId="0" fontId="7" fillId="16" borderId="0" xfId="0" applyFont="1" applyFill="1" applyAlignment="1">
      <alignment horizontal="center"/>
    </xf>
    <xf numFmtId="0" fontId="35" fillId="16" borderId="0" xfId="0" applyFont="1" applyFill="1" applyAlignment="1">
      <alignment horizontal="center" vertical="center"/>
    </xf>
    <xf numFmtId="0" fontId="35" fillId="16" borderId="0" xfId="0" applyFont="1" applyFill="1" applyAlignment="1">
      <alignment horizontal="center"/>
    </xf>
    <xf numFmtId="0" fontId="34" fillId="16" borderId="0" xfId="0" applyFont="1" applyFill="1" applyAlignment="1">
      <alignment horizontal="left"/>
    </xf>
    <xf numFmtId="0" fontId="4" fillId="16" borderId="0" xfId="0" applyFont="1" applyFill="1" applyAlignment="1">
      <alignment horizontal="center"/>
    </xf>
    <xf numFmtId="0" fontId="6" fillId="16" borderId="0" xfId="0" applyFont="1" applyFill="1" applyAlignment="1">
      <alignment horizontal="center" wrapText="1"/>
    </xf>
    <xf numFmtId="0" fontId="30" fillId="16" borderId="0" xfId="0" applyFont="1" applyFill="1"/>
    <xf numFmtId="0" fontId="32" fillId="16" borderId="2" xfId="0" applyFont="1" applyFill="1" applyBorder="1" applyAlignment="1">
      <alignment horizontal="center"/>
    </xf>
    <xf numFmtId="0" fontId="32" fillId="16" borderId="2" xfId="0" applyFont="1" applyFill="1" applyBorder="1" applyAlignment="1">
      <alignment horizontal="center" vertical="center"/>
    </xf>
    <xf numFmtId="0" fontId="32" fillId="16" borderId="0" xfId="0" applyFont="1" applyFill="1" applyAlignment="1">
      <alignment vertical="center"/>
    </xf>
    <xf numFmtId="0" fontId="32" fillId="16" borderId="0" xfId="0" applyFont="1" applyFill="1" applyAlignment="1">
      <alignment horizontal="center"/>
    </xf>
    <xf numFmtId="0" fontId="2" fillId="0" borderId="2" xfId="0" applyFont="1" applyBorder="1"/>
    <xf numFmtId="0" fontId="2" fillId="0" borderId="3" xfId="0" applyFont="1" applyBorder="1" applyAlignment="1">
      <alignment horizontal="center"/>
    </xf>
    <xf numFmtId="0" fontId="2" fillId="0" borderId="4" xfId="0" applyFont="1" applyBorder="1" applyAlignment="1">
      <alignment horizontal="center" wrapText="1"/>
    </xf>
    <xf numFmtId="0" fontId="2" fillId="0" borderId="5" xfId="0" applyFont="1" applyBorder="1"/>
    <xf numFmtId="0" fontId="2" fillId="0" borderId="19" xfId="0" applyFont="1" applyBorder="1"/>
    <xf numFmtId="0" fontId="2" fillId="0" borderId="6" xfId="0" applyFont="1" applyBorder="1"/>
    <xf numFmtId="164" fontId="2" fillId="0" borderId="7" xfId="0" applyNumberFormat="1" applyFont="1" applyBorder="1" applyAlignment="1">
      <alignment horizontal="center"/>
    </xf>
    <xf numFmtId="0" fontId="2" fillId="0" borderId="3" xfId="0" applyFont="1" applyBorder="1"/>
    <xf numFmtId="0" fontId="7" fillId="0" borderId="1" xfId="0" applyFont="1" applyBorder="1"/>
    <xf numFmtId="2" fontId="2" fillId="0" borderId="7" xfId="0" applyNumberFormat="1" applyFont="1" applyBorder="1" applyAlignment="1">
      <alignment horizontal="center"/>
    </xf>
    <xf numFmtId="0" fontId="2" fillId="0" borderId="7" xfId="0" applyFont="1" applyBorder="1" applyAlignment="1">
      <alignment horizontal="center"/>
    </xf>
    <xf numFmtId="0" fontId="2" fillId="0" borderId="38" xfId="0" applyFont="1" applyBorder="1"/>
    <xf numFmtId="0" fontId="3" fillId="0" borderId="39" xfId="0" applyFont="1" applyBorder="1" applyAlignment="1">
      <alignment vertical="top"/>
    </xf>
    <xf numFmtId="0" fontId="3" fillId="0" borderId="39" xfId="0" applyFont="1" applyBorder="1" applyAlignment="1">
      <alignment horizontal="center" vertical="top"/>
    </xf>
    <xf numFmtId="0" fontId="2" fillId="0" borderId="7" xfId="0" applyFont="1" applyBorder="1" applyAlignment="1">
      <alignment vertical="center"/>
    </xf>
    <xf numFmtId="0" fontId="2"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2" fillId="0" borderId="39" xfId="0" applyFont="1" applyBorder="1" applyAlignment="1">
      <alignment horizontal="center" wrapText="1"/>
    </xf>
    <xf numFmtId="0" fontId="9" fillId="17" borderId="0" xfId="0" applyFont="1" applyFill="1" applyAlignment="1">
      <alignment vertical="center"/>
    </xf>
    <xf numFmtId="0" fontId="9" fillId="0" borderId="0" xfId="0" applyFont="1" applyAlignment="1">
      <alignment horizontal="right"/>
    </xf>
    <xf numFmtId="0" fontId="22" fillId="17" borderId="0" xfId="0" applyFont="1" applyFill="1" applyAlignment="1">
      <alignment vertical="center"/>
    </xf>
    <xf numFmtId="0" fontId="33" fillId="17" borderId="0" xfId="0" applyFont="1" applyFill="1" applyAlignment="1">
      <alignment horizontal="left"/>
    </xf>
    <xf numFmtId="3" fontId="4" fillId="0" borderId="0" xfId="0" applyNumberFormat="1" applyFont="1" applyAlignment="1">
      <alignment horizontal="center"/>
    </xf>
    <xf numFmtId="3" fontId="4" fillId="0" borderId="2" xfId="0" applyNumberFormat="1" applyFont="1" applyBorder="1" applyAlignment="1">
      <alignment horizontal="center"/>
    </xf>
    <xf numFmtId="3" fontId="9" fillId="0" borderId="0" xfId="0" applyNumberFormat="1" applyFont="1"/>
    <xf numFmtId="0" fontId="48" fillId="0" borderId="0" xfId="0" applyFont="1" applyAlignment="1">
      <alignment horizontal="left" vertical="center" indent="5" readingOrder="1"/>
    </xf>
    <xf numFmtId="0" fontId="6" fillId="17" borderId="0" xfId="0" applyFont="1" applyFill="1" applyAlignment="1">
      <alignment vertical="center"/>
    </xf>
    <xf numFmtId="0" fontId="6" fillId="18" borderId="0" xfId="0" applyFont="1" applyFill="1" applyAlignment="1">
      <alignment vertical="center"/>
    </xf>
    <xf numFmtId="0" fontId="45" fillId="18" borderId="0" xfId="6" applyFont="1" applyFill="1" applyBorder="1" applyAlignment="1">
      <alignment vertical="center"/>
    </xf>
    <xf numFmtId="0" fontId="6" fillId="0" borderId="16" xfId="0" applyFont="1" applyBorder="1" applyAlignment="1">
      <alignment vertical="center"/>
    </xf>
    <xf numFmtId="0" fontId="2" fillId="18" borderId="0" xfId="0" applyFont="1" applyFill="1" applyAlignment="1">
      <alignment vertical="center"/>
    </xf>
    <xf numFmtId="0" fontId="45" fillId="17" borderId="0" xfId="6" applyFont="1" applyFill="1" applyBorder="1" applyAlignment="1">
      <alignment vertical="center"/>
    </xf>
    <xf numFmtId="0" fontId="12" fillId="21" borderId="36" xfId="3" applyFill="1" applyBorder="1" applyAlignment="1">
      <alignment horizontal="center"/>
    </xf>
    <xf numFmtId="0" fontId="2" fillId="21" borderId="7" xfId="1" applyNumberFormat="1" applyFont="1" applyFill="1" applyBorder="1" applyAlignment="1" applyProtection="1">
      <alignment horizontal="center"/>
      <protection locked="0"/>
    </xf>
    <xf numFmtId="0" fontId="2" fillId="21" borderId="7" xfId="0" applyFont="1" applyFill="1" applyBorder="1" applyAlignment="1" applyProtection="1">
      <alignment horizontal="center"/>
      <protection locked="0"/>
    </xf>
    <xf numFmtId="0" fontId="12" fillId="0" borderId="0" xfId="3" applyAlignment="1">
      <alignment horizontal="left" vertical="center" wrapText="1"/>
    </xf>
    <xf numFmtId="0" fontId="12" fillId="0" borderId="0" xfId="3" applyAlignment="1">
      <alignment horizontal="left" vertical="top" wrapText="1"/>
    </xf>
    <xf numFmtId="0" fontId="35" fillId="16" borderId="0" xfId="0" applyFont="1" applyFill="1"/>
    <xf numFmtId="2" fontId="2" fillId="16" borderId="0" xfId="0" applyNumberFormat="1" applyFont="1" applyFill="1"/>
    <xf numFmtId="2" fontId="6" fillId="16" borderId="0" xfId="0" applyNumberFormat="1" applyFont="1" applyFill="1"/>
    <xf numFmtId="0" fontId="6" fillId="16" borderId="0" xfId="0" applyFont="1" applyFill="1"/>
    <xf numFmtId="0" fontId="19" fillId="0" borderId="0" xfId="4" applyFont="1" applyAlignment="1">
      <alignment horizontal="left" vertical="top"/>
    </xf>
    <xf numFmtId="0" fontId="19" fillId="0" borderId="0" xfId="4" applyFont="1"/>
    <xf numFmtId="0" fontId="19" fillId="0" borderId="0" xfId="4" applyFont="1" applyAlignment="1">
      <alignment horizontal="left" vertical="top" wrapText="1"/>
    </xf>
    <xf numFmtId="0" fontId="19" fillId="0" borderId="0" xfId="3" applyFont="1" applyAlignment="1">
      <alignment horizontal="left" vertical="top" wrapText="1"/>
    </xf>
    <xf numFmtId="0" fontId="35" fillId="16" borderId="0" xfId="0" applyFont="1" applyFill="1" applyAlignment="1" applyProtection="1">
      <alignment horizontal="center"/>
      <protection locked="0"/>
    </xf>
    <xf numFmtId="0" fontId="54" fillId="16" borderId="0" xfId="0" applyFont="1" applyFill="1" applyAlignment="1">
      <alignment horizontal="center" vertical="center" wrapText="1"/>
    </xf>
    <xf numFmtId="0" fontId="2" fillId="5" borderId="37"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3" fontId="9" fillId="0" borderId="15" xfId="5" applyNumberFormat="1" applyFont="1" applyFill="1" applyBorder="1" applyAlignment="1" applyProtection="1">
      <alignment horizontal="center" vertical="center"/>
    </xf>
    <xf numFmtId="3" fontId="9" fillId="0" borderId="16" xfId="5" applyNumberFormat="1" applyFont="1" applyFill="1" applyBorder="1" applyAlignment="1" applyProtection="1">
      <alignment horizontal="left" vertical="center"/>
    </xf>
    <xf numFmtId="0" fontId="18" fillId="0" borderId="0" xfId="4" applyFill="1"/>
    <xf numFmtId="0" fontId="57" fillId="0" borderId="0" xfId="4" applyFont="1"/>
    <xf numFmtId="0" fontId="58" fillId="0" borderId="0" xfId="4" applyFont="1"/>
    <xf numFmtId="0" fontId="4" fillId="3" borderId="0" xfId="3" applyFont="1" applyFill="1" applyAlignment="1">
      <alignment horizontal="right"/>
    </xf>
    <xf numFmtId="0" fontId="31" fillId="0" borderId="0" xfId="4" applyFont="1" applyAlignment="1">
      <alignment horizontal="left" wrapText="1"/>
    </xf>
    <xf numFmtId="0" fontId="30" fillId="0" borderId="0" xfId="0" applyFont="1" applyAlignment="1">
      <alignment horizontal="left" wrapText="1"/>
    </xf>
    <xf numFmtId="167" fontId="2" fillId="0" borderId="7" xfId="0" applyNumberFormat="1" applyFont="1" applyBorder="1" applyAlignment="1">
      <alignment horizontal="center"/>
    </xf>
    <xf numFmtId="0" fontId="2" fillId="21" borderId="7" xfId="0" applyFont="1" applyFill="1" applyBorder="1" applyAlignment="1" applyProtection="1">
      <alignment horizontal="center" vertical="center"/>
      <protection locked="0"/>
    </xf>
    <xf numFmtId="0" fontId="6" fillId="21" borderId="7" xfId="0" applyFont="1" applyFill="1" applyBorder="1" applyAlignment="1" applyProtection="1">
      <alignment horizontal="center" vertical="center"/>
      <protection locked="0"/>
    </xf>
    <xf numFmtId="0" fontId="2" fillId="7" borderId="0" xfId="0" applyFont="1" applyFill="1" applyAlignment="1">
      <alignment horizontal="right"/>
    </xf>
    <xf numFmtId="0" fontId="30" fillId="0" borderId="0" xfId="0" applyFont="1" applyAlignment="1">
      <alignment wrapText="1"/>
    </xf>
    <xf numFmtId="0" fontId="31" fillId="0" borderId="0" xfId="4" applyFont="1" applyAlignment="1">
      <alignment wrapText="1"/>
    </xf>
    <xf numFmtId="0" fontId="30" fillId="0" borderId="0" xfId="0" applyFont="1" applyAlignment="1">
      <alignment horizontal="left" vertical="top" wrapText="1"/>
    </xf>
    <xf numFmtId="0" fontId="30" fillId="0" borderId="0" xfId="0" applyFont="1" applyAlignment="1">
      <alignment vertical="top" wrapText="1"/>
    </xf>
    <xf numFmtId="2" fontId="2" fillId="0" borderId="0" xfId="0" applyNumberFormat="1" applyFont="1" applyAlignment="1">
      <alignment horizontal="right"/>
    </xf>
    <xf numFmtId="2" fontId="2" fillId="0" borderId="13" xfId="0" applyNumberFormat="1" applyFont="1" applyBorder="1" applyAlignment="1">
      <alignment horizontal="right"/>
    </xf>
    <xf numFmtId="2" fontId="2" fillId="0" borderId="0" xfId="0" applyNumberFormat="1" applyFont="1" applyAlignment="1">
      <alignment horizontal="right" vertical="center"/>
    </xf>
    <xf numFmtId="3" fontId="2" fillId="0" borderId="10" xfId="0" applyNumberFormat="1" applyFont="1" applyBorder="1" applyAlignment="1">
      <alignment horizontal="right"/>
    </xf>
    <xf numFmtId="3" fontId="2" fillId="0" borderId="0" xfId="0" applyNumberFormat="1" applyFont="1" applyAlignment="1">
      <alignment horizontal="right"/>
    </xf>
    <xf numFmtId="3" fontId="3" fillId="0" borderId="13" xfId="0" applyNumberFormat="1" applyFont="1" applyBorder="1" applyAlignment="1">
      <alignment horizontal="right"/>
    </xf>
    <xf numFmtId="2" fontId="2" fillId="0" borderId="10" xfId="0" applyNumberFormat="1" applyFont="1" applyBorder="1" applyAlignment="1">
      <alignment horizontal="right"/>
    </xf>
    <xf numFmtId="2" fontId="2" fillId="0" borderId="4" xfId="0" applyNumberFormat="1" applyFont="1" applyBorder="1" applyAlignment="1">
      <alignment horizontal="right"/>
    </xf>
    <xf numFmtId="2" fontId="6" fillId="0" borderId="0" xfId="0" applyNumberFormat="1" applyFont="1" applyAlignment="1">
      <alignment horizontal="right"/>
    </xf>
    <xf numFmtId="9" fontId="6" fillId="0" borderId="4" xfId="1" quotePrefix="1" applyFont="1" applyFill="1" applyBorder="1" applyAlignment="1">
      <alignment horizontal="right"/>
    </xf>
    <xf numFmtId="164" fontId="6" fillId="0" borderId="0" xfId="0" quotePrefix="1" applyNumberFormat="1" applyFont="1" applyAlignment="1">
      <alignment horizontal="right"/>
    </xf>
    <xf numFmtId="164" fontId="6" fillId="0" borderId="4" xfId="0" quotePrefix="1" applyNumberFormat="1" applyFont="1" applyBorder="1" applyAlignment="1">
      <alignment horizontal="right"/>
    </xf>
    <xf numFmtId="9" fontId="6" fillId="0" borderId="9" xfId="1" quotePrefix="1" applyFont="1" applyFill="1" applyBorder="1" applyAlignment="1">
      <alignment horizontal="right"/>
    </xf>
    <xf numFmtId="164" fontId="3" fillId="0" borderId="0" xfId="0" applyNumberFormat="1" applyFont="1" applyAlignment="1">
      <alignment horizontal="right"/>
    </xf>
    <xf numFmtId="0" fontId="33" fillId="3" borderId="11" xfId="0" applyFont="1" applyFill="1" applyBorder="1"/>
    <xf numFmtId="0" fontId="2" fillId="0" borderId="5" xfId="0" applyFont="1" applyBorder="1" applyAlignment="1">
      <alignment horizontal="center" vertical="top"/>
    </xf>
    <xf numFmtId="0" fontId="3" fillId="0" borderId="2" xfId="0" applyFont="1" applyBorder="1" applyAlignment="1">
      <alignment horizontal="center"/>
    </xf>
    <xf numFmtId="0" fontId="3" fillId="0" borderId="1" xfId="0" applyFont="1" applyBorder="1" applyAlignment="1">
      <alignment horizontal="center"/>
    </xf>
    <xf numFmtId="0" fontId="10" fillId="0" borderId="0" xfId="0" applyFont="1" applyFill="1"/>
    <xf numFmtId="0" fontId="6" fillId="0" borderId="0" xfId="0" applyFont="1" applyFill="1"/>
    <xf numFmtId="1" fontId="6" fillId="0" borderId="0" xfId="0" applyNumberFormat="1" applyFont="1" applyFill="1" applyAlignment="1">
      <alignment horizontal="right"/>
    </xf>
    <xf numFmtId="1" fontId="3" fillId="12" borderId="0" xfId="0" applyNumberFormat="1" applyFont="1" applyFill="1"/>
    <xf numFmtId="1" fontId="3" fillId="8" borderId="0" xfId="0" applyNumberFormat="1" applyFont="1" applyFill="1"/>
    <xf numFmtId="164" fontId="2" fillId="0" borderId="0" xfId="0" applyNumberFormat="1" applyFont="1" applyAlignment="1">
      <alignment horizontal="center"/>
    </xf>
    <xf numFmtId="0" fontId="2" fillId="0" borderId="0" xfId="0" applyFont="1" applyFill="1" applyAlignment="1">
      <alignment horizontal="right"/>
    </xf>
    <xf numFmtId="0" fontId="6" fillId="0" borderId="0" xfId="0" applyFont="1" applyBorder="1" applyAlignment="1">
      <alignment horizontal="center"/>
    </xf>
    <xf numFmtId="0" fontId="32" fillId="4" borderId="0" xfId="0" applyFont="1" applyFill="1" applyAlignment="1">
      <alignment horizontal="center" vertical="center"/>
    </xf>
    <xf numFmtId="0" fontId="59" fillId="10" borderId="0" xfId="0" applyFont="1" applyFill="1" applyAlignment="1">
      <alignment horizontal="center"/>
    </xf>
    <xf numFmtId="0" fontId="59" fillId="10" borderId="0" xfId="0" applyFont="1" applyFill="1" applyAlignment="1">
      <alignment horizontal="center" vertical="center"/>
    </xf>
    <xf numFmtId="0" fontId="59" fillId="16" borderId="0" xfId="0" applyFont="1" applyFill="1" applyAlignment="1">
      <alignment horizontal="center"/>
    </xf>
    <xf numFmtId="0" fontId="4" fillId="0" borderId="2" xfId="0" applyFont="1" applyBorder="1" applyAlignment="1">
      <alignment horizontal="center" vertical="center"/>
    </xf>
    <xf numFmtId="0" fontId="22" fillId="0" borderId="3" xfId="0" applyFont="1" applyBorder="1" applyAlignment="1">
      <alignment vertical="center" wrapText="1"/>
    </xf>
    <xf numFmtId="0" fontId="21" fillId="0" borderId="4" xfId="0" applyFont="1" applyBorder="1" applyAlignment="1">
      <alignment horizontal="left" vertical="center"/>
    </xf>
    <xf numFmtId="165" fontId="22" fillId="0" borderId="4" xfId="0" applyNumberFormat="1" applyFont="1" applyBorder="1" applyAlignment="1">
      <alignment horizontal="center" vertical="center"/>
    </xf>
    <xf numFmtId="165" fontId="22" fillId="0" borderId="5" xfId="0" applyNumberFormat="1" applyFont="1" applyBorder="1" applyAlignment="1">
      <alignment horizontal="center" vertical="center"/>
    </xf>
    <xf numFmtId="165" fontId="12" fillId="0" borderId="0" xfId="0" applyNumberFormat="1" applyFont="1" applyAlignment="1">
      <alignment horizontal="center" vertical="top"/>
    </xf>
    <xf numFmtId="165" fontId="12" fillId="0" borderId="2" xfId="0" applyNumberFormat="1" applyFont="1" applyBorder="1" applyAlignment="1">
      <alignment horizontal="center" vertical="top"/>
    </xf>
    <xf numFmtId="0" fontId="19" fillId="0" borderId="0" xfId="0" applyFont="1" applyAlignment="1">
      <alignment horizontal="left" vertical="top"/>
    </xf>
    <xf numFmtId="0" fontId="19" fillId="0" borderId="4" xfId="0" applyFont="1" applyBorder="1" applyAlignment="1">
      <alignment horizontal="left" vertical="top"/>
    </xf>
    <xf numFmtId="165" fontId="12" fillId="0" borderId="4" xfId="0" applyNumberFormat="1" applyFont="1" applyBorder="1" applyAlignment="1">
      <alignment horizontal="center" vertical="top"/>
    </xf>
    <xf numFmtId="165" fontId="12" fillId="0" borderId="5" xfId="0" applyNumberFormat="1" applyFont="1" applyBorder="1" applyAlignment="1">
      <alignment horizontal="center" vertical="top"/>
    </xf>
    <xf numFmtId="0" fontId="32" fillId="4" borderId="0" xfId="0" applyFont="1" applyFill="1" applyAlignment="1">
      <alignment horizontal="center" vertical="center"/>
    </xf>
    <xf numFmtId="0" fontId="32" fillId="4" borderId="2" xfId="0" applyFont="1" applyFill="1" applyBorder="1" applyAlignment="1">
      <alignment horizontal="center" vertical="center"/>
    </xf>
    <xf numFmtId="0" fontId="6" fillId="0" borderId="0" xfId="0" applyFont="1" applyAlignment="1">
      <alignment horizontal="center" vertical="center"/>
    </xf>
    <xf numFmtId="0" fontId="12" fillId="0" borderId="0" xfId="0" applyFont="1" applyBorder="1"/>
    <xf numFmtId="3" fontId="12" fillId="0" borderId="0" xfId="0" applyNumberFormat="1" applyFont="1" applyBorder="1" applyAlignment="1">
      <alignment horizontal="center"/>
    </xf>
    <xf numFmtId="0" fontId="12" fillId="0" borderId="27" xfId="0" applyFont="1" applyBorder="1"/>
    <xf numFmtId="3" fontId="12" fillId="0" borderId="27" xfId="0" applyNumberFormat="1" applyFont="1" applyBorder="1" applyAlignment="1">
      <alignment horizontal="center"/>
    </xf>
    <xf numFmtId="0" fontId="2" fillId="0" borderId="0" xfId="0" applyFont="1" applyBorder="1"/>
    <xf numFmtId="3" fontId="2" fillId="0" borderId="0" xfId="0" applyNumberFormat="1" applyFont="1" applyBorder="1" applyAlignment="1">
      <alignment horizontal="right"/>
    </xf>
    <xf numFmtId="0" fontId="2" fillId="0" borderId="27" xfId="0" applyFont="1" applyBorder="1"/>
    <xf numFmtId="3" fontId="2" fillId="0" borderId="27" xfId="0" applyNumberFormat="1" applyFont="1" applyBorder="1" applyAlignment="1">
      <alignment horizontal="right"/>
    </xf>
    <xf numFmtId="0" fontId="2" fillId="5" borderId="15" xfId="0" applyFont="1" applyFill="1" applyBorder="1" applyAlignment="1" applyProtection="1">
      <alignment horizontal="left" vertical="center"/>
      <protection locked="0"/>
    </xf>
    <xf numFmtId="0" fontId="12" fillId="0" borderId="1" xfId="0" applyFont="1" applyBorder="1" applyAlignment="1"/>
    <xf numFmtId="0" fontId="2" fillId="0" borderId="16" xfId="0" applyFont="1" applyBorder="1"/>
    <xf numFmtId="3" fontId="2" fillId="0" borderId="29" xfId="0" applyNumberFormat="1" applyFont="1" applyBorder="1" applyAlignment="1">
      <alignment horizontal="right"/>
    </xf>
    <xf numFmtId="0" fontId="2" fillId="5" borderId="37" xfId="0" applyFont="1" applyFill="1" applyBorder="1" applyAlignment="1" applyProtection="1">
      <alignment horizontal="left" vertical="center"/>
      <protection locked="0"/>
    </xf>
    <xf numFmtId="0" fontId="12" fillId="0" borderId="2" xfId="0" applyFont="1" applyBorder="1"/>
    <xf numFmtId="3" fontId="12" fillId="0" borderId="8" xfId="0" applyNumberFormat="1" applyFont="1" applyBorder="1" applyAlignment="1">
      <alignment horizontal="center"/>
    </xf>
    <xf numFmtId="0" fontId="12" fillId="0" borderId="11" xfId="0" applyFont="1" applyBorder="1"/>
    <xf numFmtId="0" fontId="4" fillId="3" borderId="10" xfId="0" applyFont="1" applyFill="1" applyBorder="1"/>
    <xf numFmtId="0" fontId="4" fillId="3" borderId="10" xfId="0" applyFont="1" applyFill="1" applyBorder="1" applyAlignment="1">
      <alignment horizontal="right"/>
    </xf>
    <xf numFmtId="0" fontId="4" fillId="3" borderId="8" xfId="0" applyFont="1" applyFill="1" applyBorder="1" applyAlignment="1">
      <alignment horizontal="right"/>
    </xf>
    <xf numFmtId="0" fontId="2" fillId="0" borderId="0" xfId="0" applyFont="1" applyBorder="1" applyAlignment="1">
      <alignment horizontal="center" vertical="top" wrapText="1"/>
    </xf>
    <xf numFmtId="0" fontId="2" fillId="0" borderId="2" xfId="0" applyFont="1" applyBorder="1" applyAlignment="1">
      <alignment horizontal="center" vertical="top"/>
    </xf>
    <xf numFmtId="0" fontId="2" fillId="0" borderId="0" xfId="0" applyFont="1" applyBorder="1" applyAlignment="1">
      <alignment horizontal="center"/>
    </xf>
    <xf numFmtId="0" fontId="11" fillId="0" borderId="2" xfId="0" applyFont="1" applyBorder="1" applyAlignment="1">
      <alignment horizontal="left"/>
    </xf>
    <xf numFmtId="0" fontId="3" fillId="0" borderId="1" xfId="0" applyFont="1" applyBorder="1"/>
    <xf numFmtId="0" fontId="3" fillId="0" borderId="0" xfId="0" applyFont="1" applyBorder="1"/>
    <xf numFmtId="0" fontId="7" fillId="0" borderId="0" xfId="0" applyFont="1" applyBorder="1"/>
    <xf numFmtId="0" fontId="9" fillId="0" borderId="0" xfId="0" applyFont="1" applyBorder="1" applyAlignment="1">
      <alignment horizontal="center"/>
    </xf>
    <xf numFmtId="0" fontId="2" fillId="21" borderId="0" xfId="0" applyFont="1" applyFill="1" applyBorder="1" applyProtection="1">
      <protection locked="0"/>
    </xf>
    <xf numFmtId="0" fontId="4" fillId="3" borderId="8" xfId="0" applyFont="1" applyFill="1" applyBorder="1"/>
    <xf numFmtId="0" fontId="2" fillId="10" borderId="0" xfId="0" applyFont="1" applyFill="1" applyBorder="1"/>
    <xf numFmtId="0" fontId="7" fillId="10" borderId="0" xfId="0" applyFont="1" applyFill="1" applyBorder="1"/>
    <xf numFmtId="0" fontId="2" fillId="3" borderId="10" xfId="0" applyFont="1" applyFill="1" applyBorder="1"/>
    <xf numFmtId="0" fontId="2" fillId="3" borderId="8" xfId="0" applyFont="1" applyFill="1" applyBorder="1"/>
    <xf numFmtId="0" fontId="6" fillId="0" borderId="7" xfId="0" applyFont="1" applyBorder="1" applyAlignment="1">
      <alignment vertical="center" wrapText="1"/>
    </xf>
    <xf numFmtId="0" fontId="2" fillId="5" borderId="55" xfId="0" applyFont="1" applyFill="1" applyBorder="1" applyAlignment="1" applyProtection="1">
      <alignment horizontal="center" vertical="center"/>
      <protection locked="0"/>
    </xf>
    <xf numFmtId="0" fontId="2" fillId="5" borderId="56" xfId="0" applyFont="1" applyFill="1" applyBorder="1" applyAlignment="1" applyProtection="1">
      <alignment horizontal="center" vertical="center"/>
      <protection locked="0"/>
    </xf>
    <xf numFmtId="0" fontId="2" fillId="0" borderId="57" xfId="0" applyFont="1" applyBorder="1" applyAlignment="1">
      <alignment horizontal="center" vertical="center" wrapText="1"/>
    </xf>
    <xf numFmtId="0" fontId="6" fillId="0" borderId="58" xfId="0" applyFont="1" applyBorder="1" applyAlignment="1">
      <alignment vertical="center"/>
    </xf>
    <xf numFmtId="3" fontId="2" fillId="5" borderId="37" xfId="5" applyNumberFormat="1" applyFont="1" applyFill="1" applyBorder="1" applyAlignment="1" applyProtection="1">
      <alignment horizontal="center" vertical="center"/>
      <protection locked="0"/>
    </xf>
    <xf numFmtId="0" fontId="2" fillId="5" borderId="59" xfId="0" applyFont="1" applyFill="1" applyBorder="1" applyAlignment="1" applyProtection="1">
      <alignment horizontal="center" vertical="center"/>
      <protection locked="0"/>
    </xf>
    <xf numFmtId="0" fontId="2" fillId="5" borderId="60" xfId="0" applyFont="1" applyFill="1" applyBorder="1" applyAlignment="1" applyProtection="1">
      <alignment horizontal="center" vertical="center"/>
      <protection locked="0"/>
    </xf>
    <xf numFmtId="3" fontId="2" fillId="5" borderId="61" xfId="5" applyNumberFormat="1" applyFont="1" applyFill="1" applyBorder="1" applyAlignment="1" applyProtection="1">
      <alignment horizontal="center" vertical="center"/>
      <protection locked="0"/>
    </xf>
    <xf numFmtId="0" fontId="2" fillId="5" borderId="62" xfId="0" applyFont="1" applyFill="1" applyBorder="1" applyAlignment="1" applyProtection="1">
      <alignment horizontal="center" vertical="center"/>
      <protection locked="0"/>
    </xf>
    <xf numFmtId="0" fontId="6" fillId="18" borderId="0" xfId="0" applyFont="1" applyFill="1" applyAlignment="1">
      <alignment horizontal="center" vertical="top"/>
    </xf>
    <xf numFmtId="0" fontId="2" fillId="0" borderId="54" xfId="0" applyFont="1" applyBorder="1" applyAlignment="1">
      <alignment horizontal="left" vertical="center" wrapText="1"/>
    </xf>
    <xf numFmtId="0" fontId="2" fillId="0" borderId="4" xfId="0" applyFont="1" applyBorder="1" applyAlignment="1">
      <alignment horizontal="left" vertical="center" wrapText="1"/>
    </xf>
    <xf numFmtId="0" fontId="2" fillId="0" borderId="54" xfId="0" applyFont="1" applyBorder="1" applyAlignment="1">
      <alignment horizontal="left" vertical="center"/>
    </xf>
    <xf numFmtId="0" fontId="2" fillId="0" borderId="7"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63" xfId="0" applyFont="1" applyBorder="1"/>
    <xf numFmtId="0" fontId="2" fillId="0" borderId="64" xfId="0" applyFont="1" applyBorder="1"/>
    <xf numFmtId="0" fontId="7" fillId="0" borderId="25" xfId="0" applyFont="1" applyBorder="1"/>
    <xf numFmtId="0" fontId="2" fillId="0" borderId="65" xfId="0" applyFont="1" applyBorder="1"/>
    <xf numFmtId="0" fontId="2" fillId="0" borderId="66" xfId="0" applyFont="1" applyBorder="1"/>
    <xf numFmtId="0" fontId="7" fillId="0" borderId="31" xfId="0" applyFont="1" applyBorder="1"/>
    <xf numFmtId="0" fontId="2" fillId="0" borderId="1" xfId="0" applyFont="1" applyBorder="1" applyAlignment="1">
      <alignment horizontal="left" vertical="center" wrapText="1"/>
    </xf>
    <xf numFmtId="0" fontId="2" fillId="0" borderId="33" xfId="0" applyFont="1" applyBorder="1" applyAlignment="1">
      <alignment vertical="center"/>
    </xf>
    <xf numFmtId="0" fontId="2" fillId="0" borderId="67" xfId="0" applyFont="1" applyBorder="1" applyAlignment="1">
      <alignment vertical="center"/>
    </xf>
    <xf numFmtId="0" fontId="2" fillId="0" borderId="19" xfId="0" applyFont="1" applyBorder="1" applyAlignment="1">
      <alignment horizontal="center" vertical="center"/>
    </xf>
    <xf numFmtId="0" fontId="2" fillId="0" borderId="67" xfId="0" applyFont="1" applyBorder="1" applyAlignment="1">
      <alignment horizontal="center" vertical="center"/>
    </xf>
    <xf numFmtId="0" fontId="2" fillId="0" borderId="0" xfId="0" applyNumberFormat="1" applyFont="1"/>
    <xf numFmtId="0" fontId="3" fillId="0" borderId="16" xfId="0" applyFont="1" applyBorder="1"/>
    <xf numFmtId="0" fontId="2" fillId="0" borderId="0" xfId="0" applyFont="1" applyAlignment="1">
      <alignment wrapText="1"/>
    </xf>
    <xf numFmtId="0" fontId="2" fillId="0" borderId="7" xfId="0" applyFont="1" applyFill="1" applyBorder="1" applyAlignment="1">
      <alignment horizontal="center" vertical="center"/>
    </xf>
    <xf numFmtId="0" fontId="2" fillId="0" borderId="38" xfId="0" applyFont="1" applyFill="1" applyBorder="1" applyAlignment="1">
      <alignment horizontal="center" vertical="center"/>
    </xf>
    <xf numFmtId="164" fontId="2" fillId="0" borderId="7" xfId="0" applyNumberFormat="1" applyFont="1" applyFill="1" applyBorder="1" applyAlignment="1">
      <alignment horizontal="center" vertical="center"/>
    </xf>
    <xf numFmtId="0" fontId="9" fillId="0" borderId="0" xfId="0" applyFont="1" applyAlignment="1" applyProtection="1">
      <alignment horizontal="left"/>
    </xf>
    <xf numFmtId="0" fontId="12" fillId="0" borderId="0" xfId="3" applyAlignment="1">
      <alignment horizontal="left" vertical="center" wrapText="1"/>
    </xf>
    <xf numFmtId="0" fontId="12" fillId="0" borderId="0" xfId="3" applyAlignment="1">
      <alignment horizontal="left" wrapText="1"/>
    </xf>
    <xf numFmtId="0" fontId="19" fillId="15" borderId="0" xfId="4" applyFont="1" applyFill="1" applyAlignment="1">
      <alignment horizontal="left" vertical="center" wrapText="1"/>
    </xf>
    <xf numFmtId="0" fontId="19" fillId="8" borderId="0" xfId="4" applyFont="1" applyFill="1" applyAlignment="1">
      <alignment horizontal="left" vertical="center" wrapText="1"/>
    </xf>
    <xf numFmtId="0" fontId="18" fillId="8" borderId="0" xfId="4" applyFill="1" applyAlignment="1">
      <alignment horizontal="left" vertical="center" wrapText="1"/>
    </xf>
    <xf numFmtId="0" fontId="19" fillId="14" borderId="0" xfId="4" applyFont="1" applyFill="1" applyAlignment="1">
      <alignment horizontal="left" vertical="center" wrapText="1"/>
    </xf>
    <xf numFmtId="0" fontId="18" fillId="14" borderId="0" xfId="4" applyFill="1" applyAlignment="1">
      <alignment horizontal="left" vertical="center" wrapText="1"/>
    </xf>
    <xf numFmtId="0" fontId="19" fillId="11" borderId="0" xfId="4" applyFont="1" applyFill="1" applyAlignment="1">
      <alignment horizontal="left" vertical="center" wrapText="1"/>
    </xf>
    <xf numFmtId="0" fontId="18" fillId="11" borderId="0" xfId="4" applyFill="1" applyAlignment="1">
      <alignment horizontal="left" vertical="center" wrapText="1"/>
    </xf>
    <xf numFmtId="0" fontId="19" fillId="19" borderId="0" xfId="4" applyFont="1" applyFill="1" applyAlignment="1">
      <alignment horizontal="left" vertical="center" wrapText="1"/>
    </xf>
    <xf numFmtId="0" fontId="46" fillId="20" borderId="0" xfId="4" applyFont="1" applyFill="1" applyAlignment="1">
      <alignment horizontal="left" vertical="center" wrapText="1"/>
    </xf>
    <xf numFmtId="0" fontId="12" fillId="13" borderId="0" xfId="3" applyFill="1" applyAlignment="1">
      <alignment horizontal="left" vertical="center" wrapText="1"/>
    </xf>
    <xf numFmtId="0" fontId="12" fillId="0" borderId="0" xfId="3" applyAlignment="1">
      <alignment horizontal="left" vertical="top" wrapText="1"/>
    </xf>
    <xf numFmtId="0" fontId="12" fillId="0" borderId="0" xfId="3" applyAlignment="1">
      <alignment horizontal="left" vertical="center"/>
    </xf>
    <xf numFmtId="0" fontId="32" fillId="4" borderId="0" xfId="0" applyFont="1" applyFill="1" applyAlignment="1">
      <alignment horizontal="center" vertical="center"/>
    </xf>
    <xf numFmtId="0" fontId="2" fillId="9" borderId="0" xfId="0" applyFont="1" applyFill="1" applyAlignment="1" applyProtection="1">
      <alignment horizontal="left"/>
      <protection locked="0"/>
    </xf>
    <xf numFmtId="14" fontId="2" fillId="9" borderId="16" xfId="0" applyNumberFormat="1" applyFont="1" applyFill="1" applyBorder="1" applyAlignment="1" applyProtection="1">
      <alignment horizontal="left"/>
      <protection locked="0"/>
    </xf>
    <xf numFmtId="14" fontId="2" fillId="9" borderId="17" xfId="0" applyNumberFormat="1" applyFont="1" applyFill="1" applyBorder="1" applyAlignment="1" applyProtection="1">
      <alignment horizontal="left"/>
      <protection locked="0"/>
    </xf>
    <xf numFmtId="0" fontId="2" fillId="0" borderId="0" xfId="0" applyFont="1" applyAlignment="1">
      <alignment horizontal="left" vertical="center" wrapText="1"/>
    </xf>
    <xf numFmtId="0" fontId="2" fillId="5" borderId="21" xfId="0" applyFont="1" applyFill="1" applyBorder="1" applyAlignment="1" applyProtection="1">
      <alignment horizontal="left" vertical="top" wrapText="1"/>
      <protection locked="0"/>
    </xf>
    <xf numFmtId="0" fontId="2" fillId="5" borderId="22" xfId="0" applyFont="1" applyFill="1" applyBorder="1" applyAlignment="1" applyProtection="1">
      <alignment horizontal="left" vertical="top" wrapText="1"/>
      <protection locked="0"/>
    </xf>
    <xf numFmtId="0" fontId="2" fillId="5" borderId="23" xfId="0" applyFont="1" applyFill="1" applyBorder="1" applyAlignment="1" applyProtection="1">
      <alignment horizontal="left" vertical="top" wrapText="1"/>
      <protection locked="0"/>
    </xf>
    <xf numFmtId="0" fontId="2" fillId="5" borderId="24" xfId="0" applyFont="1" applyFill="1" applyBorder="1" applyAlignment="1" applyProtection="1">
      <alignment horizontal="left" vertical="top" wrapText="1"/>
      <protection locked="0"/>
    </xf>
    <xf numFmtId="0" fontId="2" fillId="5" borderId="0" xfId="0" applyFont="1" applyFill="1" applyAlignment="1" applyProtection="1">
      <alignment horizontal="left" vertical="top" wrapText="1"/>
      <protection locked="0"/>
    </xf>
    <xf numFmtId="0" fontId="2" fillId="5" borderId="25" xfId="0" applyFont="1" applyFill="1" applyBorder="1" applyAlignment="1" applyProtection="1">
      <alignment horizontal="left" vertical="top" wrapText="1"/>
      <protection locked="0"/>
    </xf>
    <xf numFmtId="0" fontId="2" fillId="5" borderId="26" xfId="0" applyFont="1" applyFill="1" applyBorder="1" applyAlignment="1" applyProtection="1">
      <alignment horizontal="left" vertical="top" wrapText="1"/>
      <protection locked="0"/>
    </xf>
    <xf numFmtId="0" fontId="2" fillId="5" borderId="27" xfId="0" applyFont="1" applyFill="1" applyBorder="1" applyAlignment="1" applyProtection="1">
      <alignment horizontal="left" vertical="top" wrapText="1"/>
      <protection locked="0"/>
    </xf>
    <xf numFmtId="0" fontId="2" fillId="5" borderId="28" xfId="0" applyFont="1" applyFill="1" applyBorder="1" applyAlignment="1" applyProtection="1">
      <alignment horizontal="left" vertical="top" wrapText="1"/>
      <protection locked="0"/>
    </xf>
    <xf numFmtId="0" fontId="2" fillId="5" borderId="16" xfId="0" applyFont="1" applyFill="1" applyBorder="1" applyAlignment="1" applyProtection="1">
      <alignment horizontal="left" vertical="top"/>
      <protection locked="0"/>
    </xf>
    <xf numFmtId="0" fontId="2" fillId="5" borderId="29" xfId="0" applyFont="1" applyFill="1" applyBorder="1" applyAlignment="1" applyProtection="1">
      <alignment horizontal="left" vertical="top"/>
      <protection locked="0"/>
    </xf>
    <xf numFmtId="0" fontId="2" fillId="5" borderId="17" xfId="0" applyFont="1" applyFill="1" applyBorder="1" applyAlignment="1" applyProtection="1">
      <alignment horizontal="left" vertical="top"/>
      <protection locked="0"/>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6" fillId="0" borderId="45" xfId="4" applyFont="1" applyBorder="1" applyAlignment="1">
      <alignment horizontal="left" wrapText="1"/>
    </xf>
    <xf numFmtId="0" fontId="6" fillId="0" borderId="46" xfId="4" applyFont="1" applyBorder="1" applyAlignment="1">
      <alignment horizontal="left" wrapText="1"/>
    </xf>
    <xf numFmtId="0" fontId="6" fillId="0" borderId="47" xfId="4" applyFont="1" applyBorder="1" applyAlignment="1">
      <alignment horizontal="left" wrapText="1"/>
    </xf>
    <xf numFmtId="0" fontId="2" fillId="0" borderId="37" xfId="0" applyFont="1" applyBorder="1" applyAlignment="1">
      <alignment horizontal="left" vertical="center"/>
    </xf>
    <xf numFmtId="0" fontId="2" fillId="0" borderId="20" xfId="0" applyFont="1" applyBorder="1" applyAlignment="1">
      <alignment horizontal="left" vertical="center"/>
    </xf>
    <xf numFmtId="0" fontId="5" fillId="4" borderId="25" xfId="0" applyFont="1" applyFill="1" applyBorder="1" applyAlignment="1">
      <alignment horizontal="center" vertical="center" textRotation="90" wrapText="1"/>
    </xf>
    <xf numFmtId="0" fontId="2" fillId="18" borderId="0" xfId="0" applyFont="1" applyFill="1" applyAlignment="1">
      <alignment horizontal="center" vertical="center"/>
    </xf>
    <xf numFmtId="0" fontId="6" fillId="18" borderId="0" xfId="0" applyFont="1" applyFill="1" applyAlignment="1">
      <alignment horizontal="center" vertical="top"/>
    </xf>
    <xf numFmtId="0" fontId="6" fillId="18" borderId="0" xfId="0" applyFont="1" applyFill="1" applyAlignment="1">
      <alignment horizontal="center" vertical="center"/>
    </xf>
    <xf numFmtId="14" fontId="29" fillId="0" borderId="19" xfId="0" applyNumberFormat="1" applyFont="1" applyBorder="1" applyAlignment="1">
      <alignment horizontal="left"/>
    </xf>
    <xf numFmtId="14" fontId="29" fillId="0" borderId="6" xfId="0" applyNumberFormat="1" applyFont="1" applyBorder="1" applyAlignment="1">
      <alignment horizontal="left"/>
    </xf>
    <xf numFmtId="0" fontId="32" fillId="4" borderId="2" xfId="0" applyFont="1" applyFill="1" applyBorder="1" applyAlignment="1">
      <alignment horizontal="center" vertical="center"/>
    </xf>
    <xf numFmtId="0" fontId="32" fillId="4" borderId="53" xfId="0" applyFont="1" applyFill="1" applyBorder="1" applyAlignment="1">
      <alignment horizontal="center" vertical="center"/>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29" fillId="0" borderId="8" xfId="0" applyFont="1" applyBorder="1" applyAlignment="1">
      <alignment horizontal="left" vertical="top" wrapText="1"/>
    </xf>
    <xf numFmtId="0" fontId="29" fillId="0" borderId="1" xfId="0" applyFont="1" applyBorder="1" applyAlignment="1">
      <alignment horizontal="left" vertical="top" wrapText="1"/>
    </xf>
    <xf numFmtId="0" fontId="29" fillId="0" borderId="0"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29" fillId="0" borderId="5" xfId="0" applyFont="1" applyBorder="1" applyAlignment="1">
      <alignment horizontal="left" vertical="top" wrapText="1"/>
    </xf>
    <xf numFmtId="0" fontId="19" fillId="18" borderId="0" xfId="0" applyFont="1" applyFill="1" applyAlignment="1">
      <alignment horizontal="center" vertical="center" wrapText="1"/>
    </xf>
    <xf numFmtId="0" fontId="2" fillId="0" borderId="54"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54"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2" fillId="16" borderId="2" xfId="0" applyFont="1" applyFill="1" applyBorder="1" applyAlignment="1">
      <alignment horizontal="center" vertical="center"/>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2" fillId="0" borderId="54" xfId="0" applyFont="1" applyBorder="1" applyAlignment="1">
      <alignment horizontal="center" vertical="center" wrapText="1"/>
    </xf>
    <xf numFmtId="0" fontId="3" fillId="0" borderId="19" xfId="0" applyFont="1" applyBorder="1" applyAlignment="1">
      <alignment horizontal="center" vertical="center"/>
    </xf>
    <xf numFmtId="0" fontId="3" fillId="0" borderId="6"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31" xfId="0" applyFont="1" applyBorder="1" applyAlignment="1">
      <alignment horizontal="left" vertical="center"/>
    </xf>
    <xf numFmtId="0" fontId="32" fillId="4" borderId="25" xfId="0" applyFont="1" applyFill="1" applyBorder="1" applyAlignment="1">
      <alignment horizontal="center" vertical="center"/>
    </xf>
    <xf numFmtId="0" fontId="6" fillId="0" borderId="34" xfId="0" applyFont="1" applyBorder="1" applyAlignment="1">
      <alignment horizontal="center" wrapText="1"/>
    </xf>
    <xf numFmtId="0" fontId="6" fillId="0" borderId="34" xfId="0" applyFont="1" applyBorder="1" applyAlignment="1">
      <alignment horizontal="center"/>
    </xf>
  </cellXfs>
  <cellStyles count="12">
    <cellStyle name="Eingabe" xfId="6" builtinId="20"/>
    <cellStyle name="Komma 2" xfId="10" xr:uid="{00000000-0005-0000-0000-000001000000}"/>
    <cellStyle name="Link" xfId="4" builtinId="8"/>
    <cellStyle name="Neutral 2" xfId="2" xr:uid="{00000000-0005-0000-0000-000003000000}"/>
    <cellStyle name="Prozent" xfId="1" builtinId="5"/>
    <cellStyle name="Prozent 2" xfId="9" xr:uid="{00000000-0005-0000-0000-000005000000}"/>
    <cellStyle name="Standard" xfId="0" builtinId="0"/>
    <cellStyle name="Standard 2" xfId="3" xr:uid="{00000000-0005-0000-0000-000007000000}"/>
    <cellStyle name="Standard 2 2" xfId="7" xr:uid="{00000000-0005-0000-0000-000008000000}"/>
    <cellStyle name="Standard 3" xfId="8" xr:uid="{00000000-0005-0000-0000-000009000000}"/>
    <cellStyle name="Währung" xfId="5" builtinId="4"/>
    <cellStyle name="Währung 2" xfId="11" xr:uid="{00000000-0005-0000-0000-00000B000000}"/>
  </cellStyles>
  <dxfs count="104">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auto="1"/>
      </font>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strike val="0"/>
        <color auto="1"/>
      </font>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ill>
        <patternFill>
          <bgColor rgb="FFFF0000"/>
        </patternFill>
      </fill>
    </dxf>
    <dxf>
      <fill>
        <patternFill>
          <bgColor rgb="FFFF0000"/>
        </patternFill>
      </fill>
    </dxf>
    <dxf>
      <font>
        <b val="0"/>
        <i/>
        <color theme="0" tint="-0.499984740745262"/>
      </font>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patternType="solid">
          <bgColor theme="0"/>
        </patternFill>
      </fill>
    </dxf>
    <dxf>
      <fill>
        <patternFill patternType="solid">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auto="1"/>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bgColor theme="0"/>
        </patternFill>
      </fill>
    </dxf>
    <dxf>
      <font>
        <color theme="0"/>
      </font>
      <fill>
        <patternFill>
          <bgColor theme="0"/>
        </patternFill>
      </fill>
    </dxf>
    <dxf>
      <font>
        <color theme="0"/>
      </font>
      <fill>
        <patternFill patternType="none">
          <bgColor auto="1"/>
        </patternFill>
      </fill>
    </dxf>
    <dxf>
      <fill>
        <patternFill>
          <bgColor theme="0"/>
        </patternFill>
      </fill>
    </dxf>
    <dxf>
      <font>
        <color theme="0"/>
      </font>
      <fill>
        <patternFill patternType="none">
          <bgColor auto="1"/>
        </patternFill>
      </fill>
    </dxf>
  </dxfs>
  <tableStyles count="0" defaultTableStyle="TableStyleMedium2" defaultPivotStyle="PivotStyleLight16"/>
  <colors>
    <mruColors>
      <color rgb="FF66CCFF"/>
      <color rgb="FF99CCFF"/>
      <color rgb="FFB9DCFF"/>
      <color rgb="FF6A6A6A"/>
      <color rgb="FFA1D323"/>
      <color rgb="FF1F711F"/>
      <color rgb="FFABD5FF"/>
      <color rgb="FF91E5E3"/>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984820904327694E-2"/>
          <c:y val="0.22091251231826667"/>
          <c:w val="0.92244565616472995"/>
          <c:h val="0.66058187008148905"/>
        </c:manualLayout>
      </c:layout>
      <c:barChart>
        <c:barDir val="col"/>
        <c:grouping val="stacked"/>
        <c:varyColors val="0"/>
        <c:ser>
          <c:idx val="3"/>
          <c:order val="0"/>
          <c:tx>
            <c:strRef>
              <c:f>Ergebnisse_LZK!$B$19</c:f>
              <c:strCache>
                <c:ptCount val="1"/>
                <c:pt idx="0">
                  <c:v>Wertminderung</c:v>
                </c:pt>
              </c:strCache>
            </c:strRef>
          </c:tx>
          <c:spPr>
            <a:solidFill>
              <a:srgbClr val="5B7ECB"/>
            </a:solidFill>
            <a:ln>
              <a:noFill/>
            </a:ln>
            <a:effectLst/>
          </c:spPr>
          <c:invertIfNegative val="0"/>
          <c:cat>
            <c:strRef>
              <c:f>Ergebnisse_LZK!$D$17:$H$17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Ergebnisse_LZK!$D$19:$H$19</c:f>
              <c:numCache>
                <c:formatCode>#,##0</c:formatCode>
                <c:ptCount val="5"/>
                <c:pt idx="0">
                  <c:v>26555.355418182582</c:v>
                </c:pt>
                <c:pt idx="1">
                  <c:v>25515.413295254653</c:v>
                </c:pt>
                <c:pt idx="2">
                  <c:v>25739.289724496084</c:v>
                </c:pt>
                <c:pt idx="3">
                  <c:v>33044.160956034983</c:v>
                </c:pt>
                <c:pt idx="4">
                  <c:v>26805.952582527021</c:v>
                </c:pt>
              </c:numCache>
            </c:numRef>
          </c:val>
          <c:extLst>
            <c:ext xmlns:c16="http://schemas.microsoft.com/office/drawing/2014/chart" uri="{C3380CC4-5D6E-409C-BE32-E72D297353CC}">
              <c16:uniqueId val="{00000001-8C63-4053-9ECB-EF77F1EAFFE4}"/>
            </c:ext>
          </c:extLst>
        </c:ser>
        <c:ser>
          <c:idx val="5"/>
          <c:order val="1"/>
          <c:tx>
            <c:strRef>
              <c:f>Ergebnisse_LZK!$B$20</c:f>
              <c:strCache>
                <c:ptCount val="1"/>
                <c:pt idx="0">
                  <c:v>Energiekosten</c:v>
                </c:pt>
              </c:strCache>
            </c:strRef>
          </c:tx>
          <c:spPr>
            <a:solidFill>
              <a:srgbClr val="EE8E00"/>
            </a:solidFill>
            <a:ln>
              <a:noFill/>
            </a:ln>
            <a:effectLst/>
          </c:spPr>
          <c:invertIfNegative val="0"/>
          <c:cat>
            <c:strRef>
              <c:f>Ergebnisse_LZK!$D$17:$H$17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Ergebnisse_LZK!$D$20:$H$20</c:f>
              <c:numCache>
                <c:formatCode>#,##0</c:formatCode>
                <c:ptCount val="5"/>
                <c:pt idx="0">
                  <c:v>14337.399999999998</c:v>
                </c:pt>
                <c:pt idx="1">
                  <c:v>16678.2</c:v>
                </c:pt>
                <c:pt idx="2">
                  <c:v>22237.599999999999</c:v>
                </c:pt>
                <c:pt idx="3">
                  <c:v>21874.649999999998</c:v>
                </c:pt>
                <c:pt idx="4">
                  <c:v>16340.100000000002</c:v>
                </c:pt>
              </c:numCache>
            </c:numRef>
          </c:val>
          <c:extLst>
            <c:ext xmlns:c16="http://schemas.microsoft.com/office/drawing/2014/chart" uri="{C3380CC4-5D6E-409C-BE32-E72D297353CC}">
              <c16:uniqueId val="{00000003-8C63-4053-9ECB-EF77F1EAFFE4}"/>
            </c:ext>
          </c:extLst>
        </c:ser>
        <c:ser>
          <c:idx val="0"/>
          <c:order val="2"/>
          <c:tx>
            <c:strRef>
              <c:f>Ergebnisse_LZK!$B$23</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Ergebnisse_LZK!$D$17:$H$17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Ergebnisse_LZK!$D$23:$H$23</c:f>
              <c:numCache>
                <c:formatCode>#,##0</c:formatCode>
                <c:ptCount val="5"/>
                <c:pt idx="0">
                  <c:v>0</c:v>
                </c:pt>
                <c:pt idx="1">
                  <c:v>0</c:v>
                </c:pt>
                <c:pt idx="2">
                  <c:v>0</c:v>
                </c:pt>
                <c:pt idx="3">
                  <c:v>2873.181818181818</c:v>
                </c:pt>
                <c:pt idx="4">
                  <c:v>4309.7727272727279</c:v>
                </c:pt>
              </c:numCache>
            </c:numRef>
          </c:val>
          <c:extLst>
            <c:ext xmlns:c16="http://schemas.microsoft.com/office/drawing/2014/chart" uri="{C3380CC4-5D6E-409C-BE32-E72D297353CC}">
              <c16:uniqueId val="{00000005-8C63-4053-9ECB-EF77F1EAFFE4}"/>
            </c:ext>
          </c:extLst>
        </c:ser>
        <c:ser>
          <c:idx val="7"/>
          <c:order val="3"/>
          <c:tx>
            <c:strRef>
              <c:f>Ergebnisse_LZK!$B$21</c:f>
              <c:strCache>
                <c:ptCount val="1"/>
                <c:pt idx="0">
                  <c:v>Externe Umweltkosten (Betrieb)</c:v>
                </c:pt>
              </c:strCache>
            </c:strRef>
          </c:tx>
          <c:spPr>
            <a:solidFill>
              <a:srgbClr val="A1D323"/>
            </a:solidFill>
            <a:ln>
              <a:noFill/>
            </a:ln>
            <a:effectLst/>
          </c:spPr>
          <c:invertIfNegative val="0"/>
          <c:cat>
            <c:strRef>
              <c:f>Ergebnisse_LZK!$D$17:$H$17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Ergebnisse_LZK!$D$21:$H$21</c:f>
              <c:numCache>
                <c:formatCode>#,##0</c:formatCode>
                <c:ptCount val="5"/>
                <c:pt idx="0">
                  <c:v>19781.125</c:v>
                </c:pt>
                <c:pt idx="1">
                  <c:v>22580.774999999998</c:v>
                </c:pt>
                <c:pt idx="2">
                  <c:v>29959.825000000004</c:v>
                </c:pt>
                <c:pt idx="3">
                  <c:v>0</c:v>
                </c:pt>
                <c:pt idx="4">
                  <c:v>0</c:v>
                </c:pt>
              </c:numCache>
            </c:numRef>
          </c:val>
          <c:extLst>
            <c:ext xmlns:c16="http://schemas.microsoft.com/office/drawing/2014/chart" uri="{C3380CC4-5D6E-409C-BE32-E72D297353CC}">
              <c16:uniqueId val="{00000004-8C63-4053-9ECB-EF77F1EAFFE4}"/>
            </c:ext>
          </c:extLst>
        </c:ser>
        <c:ser>
          <c:idx val="1"/>
          <c:order val="4"/>
          <c:tx>
            <c:strRef>
              <c:f>Ergebnisse_LZK!$B$22</c:f>
              <c:strCache>
                <c:ptCount val="1"/>
                <c:pt idx="0">
                  <c:v>Externe Umweltkosten THG (Vorkette)</c:v>
                </c:pt>
              </c:strCache>
            </c:strRef>
          </c:tx>
          <c:spPr>
            <a:solidFill>
              <a:srgbClr val="1F711F"/>
            </a:solidFill>
            <a:ln>
              <a:noFill/>
            </a:ln>
            <a:effectLst/>
          </c:spPr>
          <c:invertIfNegative val="0"/>
          <c:cat>
            <c:strRef>
              <c:f>Ergebnisse_LZK!$D$17:$H$17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Ergebnisse_LZK!$D$22:$H$22</c:f>
              <c:numCache>
                <c:formatCode>#,##0</c:formatCode>
                <c:ptCount val="5"/>
                <c:pt idx="0">
                  <c:v>6133.7114197632009</c:v>
                </c:pt>
                <c:pt idx="1">
                  <c:v>7135.1336923776016</c:v>
                </c:pt>
                <c:pt idx="2">
                  <c:v>9513.5115898368003</c:v>
                </c:pt>
                <c:pt idx="3">
                  <c:v>10905.079499999996</c:v>
                </c:pt>
                <c:pt idx="4">
                  <c:v>8145.9630000000006</c:v>
                </c:pt>
              </c:numCache>
            </c:numRef>
          </c:val>
          <c:extLst>
            <c:ext xmlns:c16="http://schemas.microsoft.com/office/drawing/2014/chart" uri="{C3380CC4-5D6E-409C-BE32-E72D297353CC}">
              <c16:uniqueId val="{00000006-8C63-4053-9ECB-EF77F1EAFFE4}"/>
            </c:ext>
          </c:extLst>
        </c:ser>
        <c:ser>
          <c:idx val="2"/>
          <c:order val="5"/>
          <c:tx>
            <c:strRef>
              <c:f>Ergebnisse_LZK!$B$24</c:f>
              <c:strCache>
                <c:ptCount val="1"/>
                <c:pt idx="0">
                  <c:v>Kfz-Steuer</c:v>
                </c:pt>
              </c:strCache>
            </c:strRef>
          </c:tx>
          <c:spPr>
            <a:solidFill>
              <a:schemeClr val="accent3"/>
            </a:solidFill>
            <a:ln>
              <a:noFill/>
            </a:ln>
            <a:effectLst/>
          </c:spPr>
          <c:invertIfNegative val="0"/>
          <c:val>
            <c:numRef>
              <c:f>Ergebnisse_LZK!$D$24:$H$24</c:f>
              <c:numCache>
                <c:formatCode>#,##0</c:formatCode>
                <c:ptCount val="5"/>
                <c:pt idx="0">
                  <c:v>1120</c:v>
                </c:pt>
                <c:pt idx="1">
                  <c:v>952</c:v>
                </c:pt>
                <c:pt idx="2">
                  <c:v>1204</c:v>
                </c:pt>
                <c:pt idx="3">
                  <c:v>0</c:v>
                </c:pt>
                <c:pt idx="4">
                  <c:v>0</c:v>
                </c:pt>
              </c:numCache>
            </c:numRef>
          </c:val>
          <c:extLst>
            <c:ext xmlns:c16="http://schemas.microsoft.com/office/drawing/2014/chart" uri="{C3380CC4-5D6E-409C-BE32-E72D297353CC}">
              <c16:uniqueId val="{00000000-B193-4DF1-9FD2-FD38B7296E5F}"/>
            </c:ext>
          </c:extLst>
        </c:ser>
        <c:ser>
          <c:idx val="4"/>
          <c:order val="6"/>
          <c:tx>
            <c:strRef>
              <c:f>Ergebnisse_LZK!$B$25</c:f>
              <c:strCache>
                <c:ptCount val="1"/>
              </c:strCache>
            </c:strRef>
          </c:tx>
          <c:spPr>
            <a:solidFill>
              <a:schemeClr val="accent5"/>
            </a:solidFill>
            <a:ln>
              <a:noFill/>
            </a:ln>
            <a:effectLst/>
          </c:spPr>
          <c:invertIfNegative val="0"/>
          <c:val>
            <c:numRef>
              <c:f>Ergebnisse_LZK!$D$25:$H$25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B193-4DF1-9FD2-FD38B7296E5F}"/>
            </c:ext>
          </c:extLst>
        </c:ser>
        <c:ser>
          <c:idx val="6"/>
          <c:order val="7"/>
          <c:tx>
            <c:strRef>
              <c:f>Ergebnisse_LZK!$B$26</c:f>
              <c:strCache>
                <c:ptCount val="1"/>
              </c:strCache>
            </c:strRef>
          </c:tx>
          <c:spPr>
            <a:solidFill>
              <a:srgbClr val="99CCFF"/>
            </a:solidFill>
            <a:ln>
              <a:noFill/>
            </a:ln>
            <a:effectLst/>
          </c:spPr>
          <c:invertIfNegative val="0"/>
          <c:val>
            <c:numRef>
              <c:f>Ergebnisse_LZK!$D$26:$H$26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193-4DF1-9FD2-FD38B7296E5F}"/>
            </c:ext>
          </c:extLst>
        </c:ser>
        <c:dLbls>
          <c:showLegendKey val="0"/>
          <c:showVal val="0"/>
          <c:showCatName val="0"/>
          <c:showSerName val="0"/>
          <c:showPercent val="0"/>
          <c:showBubbleSize val="0"/>
        </c:dLbls>
        <c:gapWidth val="120"/>
        <c:overlap val="100"/>
        <c:axId val="161944320"/>
        <c:axId val="161945856"/>
      </c:barChart>
      <c:catAx>
        <c:axId val="16194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5856"/>
        <c:crosses val="autoZero"/>
        <c:auto val="1"/>
        <c:lblAlgn val="ctr"/>
        <c:lblOffset val="100"/>
        <c:noMultiLvlLbl val="0"/>
      </c:catAx>
      <c:valAx>
        <c:axId val="161945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4320"/>
        <c:crosses val="autoZero"/>
        <c:crossBetween val="between"/>
      </c:valAx>
      <c:spPr>
        <a:noFill/>
        <a:ln>
          <a:noFill/>
        </a:ln>
        <a:effectLst/>
      </c:spPr>
    </c:plotArea>
    <c:legend>
      <c:legendPos val="t"/>
      <c:layout>
        <c:manualLayout>
          <c:xMode val="edge"/>
          <c:yMode val="edge"/>
          <c:x val="0.10132977736820835"/>
          <c:y val="1.7204400308061116E-2"/>
          <c:w val="0.86234393029162959"/>
          <c:h val="0.18627853602853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6.3984820904327694E-2"/>
          <c:y val="0.22091251231826667"/>
          <c:w val="0.92442883781817808"/>
          <c:h val="0.65499605804406413"/>
        </c:manualLayout>
      </c:layout>
      <c:barChart>
        <c:barDir val="col"/>
        <c:grouping val="stacked"/>
        <c:varyColors val="0"/>
        <c:ser>
          <c:idx val="4"/>
          <c:order val="0"/>
          <c:tx>
            <c:strRef>
              <c:f>Ergebnisse_Umweltkosten!$B$21</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(Ergebnisse_Umweltkosten!$D$17,Ergebnisse_Umweltkosten!$E$17,Ergebnisse_Umweltkosten!$F$17,Ergebnisse_Umweltkosten!$G$17,Ergebnisse_Umweltkosten!$H$17)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(Ergebnisse_Umweltkosten!$D$21,Ergebnisse_Umweltkosten!$E$21,Ergebnisse_Umweltkosten!$F$21,Ergebnisse_Umweltkosten!$G$21,Ergebnisse_Umweltkosten!$H$21)</c:f>
              <c:numCache>
                <c:formatCode>#,##0</c:formatCode>
                <c:ptCount val="5"/>
                <c:pt idx="0">
                  <c:v>0</c:v>
                </c:pt>
                <c:pt idx="1">
                  <c:v>0</c:v>
                </c:pt>
                <c:pt idx="2">
                  <c:v>0</c:v>
                </c:pt>
                <c:pt idx="3">
                  <c:v>2873.181818181818</c:v>
                </c:pt>
                <c:pt idx="4">
                  <c:v>4309.7727272727279</c:v>
                </c:pt>
              </c:numCache>
            </c:numRef>
          </c:val>
          <c:extLst>
            <c:ext xmlns:c16="http://schemas.microsoft.com/office/drawing/2014/chart" uri="{C3380CC4-5D6E-409C-BE32-E72D297353CC}">
              <c16:uniqueId val="{00000002-8C63-4053-9ECB-EF77F1EAFFE4}"/>
            </c:ext>
          </c:extLst>
        </c:ser>
        <c:ser>
          <c:idx val="6"/>
          <c:order val="1"/>
          <c:tx>
            <c:strRef>
              <c:f>Ergebnisse_Umweltkosten!$B$18</c:f>
              <c:strCache>
                <c:ptCount val="1"/>
                <c:pt idx="0">
                  <c:v>Externe Umweltkosten THG (Betrieb)</c:v>
                </c:pt>
              </c:strCache>
            </c:strRef>
          </c:tx>
          <c:spPr>
            <a:solidFill>
              <a:srgbClr val="A1D323"/>
            </a:solidFill>
            <a:ln>
              <a:noFill/>
            </a:ln>
            <a:effectLst/>
          </c:spPr>
          <c:invertIfNegative val="0"/>
          <c:cat>
            <c:strRef>
              <c:f>(Ergebnisse_Umweltkosten!$D$17,Ergebnisse_Umweltkosten!$E$17,Ergebnisse_Umweltkosten!$F$17,Ergebnisse_Umweltkosten!$G$17,Ergebnisse_Umweltkosten!$H$17)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(Ergebnisse_Umweltkosten!$D$18,Ergebnisse_Umweltkosten!$E$18,Ergebnisse_Umweltkosten!$F$18,Ergebnisse_Umweltkosten!$G$18,Ergebnisse_Umweltkosten!$H$18)</c:f>
              <c:numCache>
                <c:formatCode>#,##0</c:formatCode>
                <c:ptCount val="5"/>
                <c:pt idx="0">
                  <c:v>19565</c:v>
                </c:pt>
                <c:pt idx="1">
                  <c:v>22424.499999999996</c:v>
                </c:pt>
                <c:pt idx="2">
                  <c:v>29799.000000000004</c:v>
                </c:pt>
                <c:pt idx="3">
                  <c:v>0</c:v>
                </c:pt>
                <c:pt idx="4">
                  <c:v>0</c:v>
                </c:pt>
              </c:numCache>
            </c:numRef>
          </c:val>
          <c:extLst>
            <c:ext xmlns:c16="http://schemas.microsoft.com/office/drawing/2014/chart" uri="{C3380CC4-5D6E-409C-BE32-E72D297353CC}">
              <c16:uniqueId val="{00000000-8C63-4053-9ECB-EF77F1EAFFE4}"/>
            </c:ext>
          </c:extLst>
        </c:ser>
        <c:ser>
          <c:idx val="0"/>
          <c:order val="2"/>
          <c:tx>
            <c:strRef>
              <c:f>Ergebnisse_Umweltkosten!$B$19</c:f>
              <c:strCache>
                <c:ptCount val="1"/>
                <c:pt idx="0">
                  <c:v>Externe Umweltk. Luftschadstoffe (Betrieb)</c:v>
                </c:pt>
              </c:strCache>
            </c:strRef>
          </c:tx>
          <c:spPr>
            <a:solidFill>
              <a:srgbClr val="00B050"/>
            </a:solidFill>
          </c:spPr>
          <c:invertIfNegative val="0"/>
          <c:val>
            <c:numRef>
              <c:f>Ergebnisse_Umweltkosten!$D$19:$H$19</c:f>
              <c:numCache>
                <c:formatCode>#,##0</c:formatCode>
                <c:ptCount val="5"/>
                <c:pt idx="0">
                  <c:v>216.125</c:v>
                </c:pt>
                <c:pt idx="1">
                  <c:v>156.27500000000001</c:v>
                </c:pt>
                <c:pt idx="2">
                  <c:v>160.82500000000002</c:v>
                </c:pt>
                <c:pt idx="3">
                  <c:v>0</c:v>
                </c:pt>
                <c:pt idx="4">
                  <c:v>0</c:v>
                </c:pt>
              </c:numCache>
            </c:numRef>
          </c:val>
          <c:extLst>
            <c:ext xmlns:c16="http://schemas.microsoft.com/office/drawing/2014/chart" uri="{C3380CC4-5D6E-409C-BE32-E72D297353CC}">
              <c16:uniqueId val="{00000000-E898-40A7-A0A7-CC678C4EC021}"/>
            </c:ext>
          </c:extLst>
        </c:ser>
        <c:ser>
          <c:idx val="3"/>
          <c:order val="3"/>
          <c:tx>
            <c:strRef>
              <c:f>Ergebnisse_Umweltkosten!$B$20</c:f>
              <c:strCache>
                <c:ptCount val="1"/>
                <c:pt idx="0">
                  <c:v>Externe Umweltkosten THG (Vorkette)</c:v>
                </c:pt>
              </c:strCache>
            </c:strRef>
          </c:tx>
          <c:spPr>
            <a:solidFill>
              <a:srgbClr val="1F711F"/>
            </a:solidFill>
            <a:ln>
              <a:noFill/>
            </a:ln>
            <a:effectLst/>
          </c:spPr>
          <c:invertIfNegative val="0"/>
          <c:cat>
            <c:strRef>
              <c:f>(Ergebnisse_Umweltkosten!$D$17,Ergebnisse_Umweltkosten!$E$17,Ergebnisse_Umweltkosten!$F$17,Ergebnisse_Umweltkosten!$G$17,Ergebnisse_Umweltkosten!$H$17)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(Ergebnisse_Umweltkosten!$D$20,Ergebnisse_Umweltkosten!$E$20,Ergebnisse_Umweltkosten!$F$20,Ergebnisse_Umweltkosten!$G$20,Ergebnisse_Umweltkosten!$H$20)</c:f>
              <c:numCache>
                <c:formatCode>#,##0</c:formatCode>
                <c:ptCount val="5"/>
                <c:pt idx="0">
                  <c:v>6133.7114197632009</c:v>
                </c:pt>
                <c:pt idx="1">
                  <c:v>7135.1336923776016</c:v>
                </c:pt>
                <c:pt idx="2">
                  <c:v>9513.5115898368003</c:v>
                </c:pt>
                <c:pt idx="3">
                  <c:v>10905.079499999996</c:v>
                </c:pt>
                <c:pt idx="4">
                  <c:v>8145.9630000000006</c:v>
                </c:pt>
              </c:numCache>
            </c:numRef>
          </c:val>
          <c:extLst>
            <c:ext xmlns:c16="http://schemas.microsoft.com/office/drawing/2014/chart" uri="{C3380CC4-5D6E-409C-BE32-E72D297353CC}">
              <c16:uniqueId val="{00000001-8C63-4053-9ECB-EF77F1EAFFE4}"/>
            </c:ext>
          </c:extLst>
        </c:ser>
        <c:dLbls>
          <c:showLegendKey val="0"/>
          <c:showVal val="0"/>
          <c:showCatName val="0"/>
          <c:showSerName val="0"/>
          <c:showPercent val="0"/>
          <c:showBubbleSize val="0"/>
        </c:dLbls>
        <c:gapWidth val="120"/>
        <c:overlap val="100"/>
        <c:axId val="162166272"/>
        <c:axId val="162167808"/>
      </c:barChart>
      <c:catAx>
        <c:axId val="162166272"/>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7808"/>
        <c:crosses val="autoZero"/>
        <c:auto val="1"/>
        <c:lblAlgn val="ctr"/>
        <c:lblOffset val="100"/>
        <c:noMultiLvlLbl val="0"/>
      </c:catAx>
      <c:valAx>
        <c:axId val="162167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6272"/>
        <c:crosses val="autoZero"/>
        <c:crossBetween val="between"/>
      </c:valAx>
      <c:spPr>
        <a:noFill/>
        <a:ln>
          <a:noFill/>
        </a:ln>
        <a:effectLst/>
      </c:spPr>
    </c:plotArea>
    <c:legend>
      <c:legendPos val="t"/>
      <c:layout>
        <c:manualLayout>
          <c:xMode val="edge"/>
          <c:yMode val="edge"/>
          <c:x val="8.8105543960488697E-2"/>
          <c:y val="4.2319511233134377E-2"/>
          <c:w val="0.87426749299318529"/>
          <c:h val="9.1122627266899556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Ergebnisse_LZK!A1"/><Relationship Id="rId13" Type="http://schemas.openxmlformats.org/officeDocument/2006/relationships/image" Target="../media/image3.png"/><Relationship Id="rId3" Type="http://schemas.openxmlformats.org/officeDocument/2006/relationships/hyperlink" Target="#Erg.Pkw_1!A1"/><Relationship Id="rId7" Type="http://schemas.openxmlformats.org/officeDocument/2006/relationships/hyperlink" Target="#Erg.Pkw_5!A1"/><Relationship Id="rId12" Type="http://schemas.openxmlformats.org/officeDocument/2006/relationships/image" Target="../media/image2.png"/><Relationship Id="rId2" Type="http://schemas.openxmlformats.org/officeDocument/2006/relationships/hyperlink" Target="#Eingabe_Angebotswerte!A1"/><Relationship Id="rId1" Type="http://schemas.openxmlformats.org/officeDocument/2006/relationships/hyperlink" Target="#Input_Beschaffung!A1"/><Relationship Id="rId6" Type="http://schemas.openxmlformats.org/officeDocument/2006/relationships/hyperlink" Target="#Erg.Pkw_4!A1"/><Relationship Id="rId11" Type="http://schemas.openxmlformats.org/officeDocument/2006/relationships/image" Target="../media/image1.wmf"/><Relationship Id="rId5" Type="http://schemas.openxmlformats.org/officeDocument/2006/relationships/hyperlink" Target="#Erg.Pkw_3!A1"/><Relationship Id="rId10" Type="http://schemas.openxmlformats.org/officeDocument/2006/relationships/hyperlink" Target="#Grunddaten!A1"/><Relationship Id="rId4" Type="http://schemas.openxmlformats.org/officeDocument/2006/relationships/hyperlink" Target="#Erg.Pkw_2!A1"/><Relationship Id="rId9" Type="http://schemas.openxmlformats.org/officeDocument/2006/relationships/hyperlink" Target="#Ergebnisse_Umweltkosten!A1"/><Relationship Id="rId1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1.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Anleitung!A1"/></Relationships>
</file>

<file path=xl/drawings/_rels/drawing15.xml.rels><?xml version="1.0" encoding="UTF-8" standalone="yes"?>
<Relationships xmlns="http://schemas.openxmlformats.org/package/2006/relationships"><Relationship Id="rId1" Type="http://schemas.openxmlformats.org/officeDocument/2006/relationships/hyperlink" Target="#Anleitung!A1"/></Relationships>
</file>

<file path=xl/drawings/_rels/drawing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3.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hyperlink" Target="#Anleitung!A1"/></Relationships>
</file>

<file path=xl/drawings/_rels/drawing7.xml.rels><?xml version="1.0" encoding="UTF-8" standalone="yes"?>
<Relationships xmlns="http://schemas.openxmlformats.org/package/2006/relationships"><Relationship Id="rId1" Type="http://schemas.openxmlformats.org/officeDocument/2006/relationships/hyperlink" Target="#Anleitung!A1"/></Relationships>
</file>

<file path=xl/drawings/_rels/drawing8.xml.rels><?xml version="1.0" encoding="UTF-8" standalone="yes"?>
<Relationships xmlns="http://schemas.openxmlformats.org/package/2006/relationships"><Relationship Id="rId1" Type="http://schemas.openxmlformats.org/officeDocument/2006/relationships/hyperlink" Target="#Anleitung!A1"/></Relationships>
</file>

<file path=xl/drawings/_rels/drawing9.xml.rels><?xml version="1.0" encoding="UTF-8" standalone="yes"?>
<Relationships xmlns="http://schemas.openxmlformats.org/package/2006/relationships"><Relationship Id="rId1" Type="http://schemas.openxmlformats.org/officeDocument/2006/relationships/hyperlink" Target="#Anleitung!A1"/></Relationships>
</file>

<file path=xl/drawings/drawing1.xml><?xml version="1.0" encoding="utf-8"?>
<xdr:wsDr xmlns:xdr="http://schemas.openxmlformats.org/drawingml/2006/spreadsheetDrawing" xmlns:a="http://schemas.openxmlformats.org/drawingml/2006/main">
  <xdr:twoCellAnchor>
    <xdr:from>
      <xdr:col>1</xdr:col>
      <xdr:colOff>1905</xdr:colOff>
      <xdr:row>7</xdr:row>
      <xdr:rowOff>161925</xdr:rowOff>
    </xdr:from>
    <xdr:to>
      <xdr:col>4</xdr:col>
      <xdr:colOff>647700</xdr:colOff>
      <xdr:row>30</xdr:row>
      <xdr:rowOff>1904</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287655" y="2945130"/>
          <a:ext cx="3274695" cy="469582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36195</xdr:colOff>
      <xdr:row>27</xdr:row>
      <xdr:rowOff>40004</xdr:rowOff>
    </xdr:from>
    <xdr:to>
      <xdr:col>4</xdr:col>
      <xdr:colOff>605790</xdr:colOff>
      <xdr:row>29</xdr:row>
      <xdr:rowOff>41909</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a:off x="321945" y="7250429"/>
          <a:ext cx="3198495" cy="344805"/>
        </a:xfrm>
        <a:prstGeom prst="rect">
          <a:avLst/>
        </a:prstGeom>
        <a:solidFill>
          <a:schemeClr val="bg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105319</xdr:colOff>
      <xdr:row>8</xdr:row>
      <xdr:rowOff>133350</xdr:rowOff>
    </xdr:from>
    <xdr:to>
      <xdr:col>4</xdr:col>
      <xdr:colOff>548640</xdr:colOff>
      <xdr:row>8</xdr:row>
      <xdr:rowOff>373159</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389164" y="3082290"/>
          <a:ext cx="3077936" cy="241714"/>
        </a:xfrm>
        <a:prstGeom prst="rect">
          <a:avLst/>
        </a:prstGeom>
        <a:solidFill>
          <a:srgbClr val="99CCF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Input Beschaffung</a:t>
          </a:r>
        </a:p>
      </xdr:txBody>
    </xdr:sp>
    <xdr:clientData/>
  </xdr:twoCellAnchor>
  <xdr:twoCellAnchor>
    <xdr:from>
      <xdr:col>1</xdr:col>
      <xdr:colOff>99059</xdr:colOff>
      <xdr:row>10</xdr:row>
      <xdr:rowOff>81915</xdr:rowOff>
    </xdr:from>
    <xdr:to>
      <xdr:col>3</xdr:col>
      <xdr:colOff>687704</xdr:colOff>
      <xdr:row>12</xdr:row>
      <xdr:rowOff>144549</xdr:rowOff>
    </xdr:to>
    <xdr:sp macro="" textlink="">
      <xdr:nvSpPr>
        <xdr:cNvPr id="5" name="Textfeld 5">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380999" y="3731895"/>
          <a:ext cx="1678305" cy="401724"/>
        </a:xfrm>
        <a:prstGeom prst="rect">
          <a:avLst/>
        </a:prstGeom>
        <a:solidFill>
          <a:schemeClr val="tx2">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Eingabe Angebotswerte</a:t>
          </a:r>
        </a:p>
      </xdr:txBody>
    </xdr:sp>
    <xdr:clientData/>
  </xdr:twoCellAnchor>
  <xdr:twoCellAnchor>
    <xdr:from>
      <xdr:col>1</xdr:col>
      <xdr:colOff>76201</xdr:colOff>
      <xdr:row>27</xdr:row>
      <xdr:rowOff>87418</xdr:rowOff>
    </xdr:from>
    <xdr:to>
      <xdr:col>1</xdr:col>
      <xdr:colOff>663642</xdr:colOff>
      <xdr:row>28</xdr:row>
      <xdr:rowOff>159342</xdr:rowOff>
    </xdr:to>
    <xdr:sp macro="" textlink="">
      <xdr:nvSpPr>
        <xdr:cNvPr id="6" name="Textfeld 7">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58141" y="7974118"/>
          <a:ext cx="58744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1</a:t>
          </a:r>
        </a:p>
      </xdr:txBody>
    </xdr:sp>
    <xdr:clientData/>
  </xdr:twoCellAnchor>
  <xdr:twoCellAnchor>
    <xdr:from>
      <xdr:col>1</xdr:col>
      <xdr:colOff>703695</xdr:colOff>
      <xdr:row>27</xdr:row>
      <xdr:rowOff>83608</xdr:rowOff>
    </xdr:from>
    <xdr:to>
      <xdr:col>3</xdr:col>
      <xdr:colOff>243840</xdr:colOff>
      <xdr:row>28</xdr:row>
      <xdr:rowOff>159095</xdr:rowOff>
    </xdr:to>
    <xdr:sp macro="" textlink="">
      <xdr:nvSpPr>
        <xdr:cNvPr id="7" name="Textfeld 8">
          <a:hlinkClick xmlns:r="http://schemas.openxmlformats.org/officeDocument/2006/relationships" r:id="rId4"/>
          <a:extLst>
            <a:ext uri="{FF2B5EF4-FFF2-40B4-BE49-F238E27FC236}">
              <a16:creationId xmlns:a16="http://schemas.microsoft.com/office/drawing/2014/main" id="{00000000-0008-0000-0000-000007000000}"/>
            </a:ext>
          </a:extLst>
        </xdr:cNvPr>
        <xdr:cNvSpPr txBox="1"/>
      </xdr:nvSpPr>
      <xdr:spPr>
        <a:xfrm>
          <a:off x="993255" y="7295938"/>
          <a:ext cx="625995"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2</a:t>
          </a:r>
        </a:p>
      </xdr:txBody>
    </xdr:sp>
    <xdr:clientData/>
  </xdr:twoCellAnchor>
  <xdr:twoCellAnchor>
    <xdr:from>
      <xdr:col>3</xdr:col>
      <xdr:colOff>306298</xdr:colOff>
      <xdr:row>27</xdr:row>
      <xdr:rowOff>96943</xdr:rowOff>
    </xdr:from>
    <xdr:to>
      <xdr:col>3</xdr:col>
      <xdr:colOff>857249</xdr:colOff>
      <xdr:row>28</xdr:row>
      <xdr:rowOff>168867</xdr:rowOff>
    </xdr:to>
    <xdr:sp macro="" textlink="">
      <xdr:nvSpPr>
        <xdr:cNvPr id="8" name="Textfeld 10">
          <a:hlinkClick xmlns:r="http://schemas.openxmlformats.org/officeDocument/2006/relationships" r:id="rId5"/>
          <a:extLst>
            <a:ext uri="{FF2B5EF4-FFF2-40B4-BE49-F238E27FC236}">
              <a16:creationId xmlns:a16="http://schemas.microsoft.com/office/drawing/2014/main" id="{00000000-0008-0000-0000-000008000000}"/>
            </a:ext>
          </a:extLst>
        </xdr:cNvPr>
        <xdr:cNvSpPr txBox="1"/>
      </xdr:nvSpPr>
      <xdr:spPr>
        <a:xfrm flipH="1">
          <a:off x="1670278" y="7983643"/>
          <a:ext cx="55095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3</a:t>
          </a:r>
        </a:p>
      </xdr:txBody>
    </xdr:sp>
    <xdr:clientData/>
  </xdr:twoCellAnchor>
  <xdr:twoCellAnchor>
    <xdr:from>
      <xdr:col>3</xdr:col>
      <xdr:colOff>929983</xdr:colOff>
      <xdr:row>27</xdr:row>
      <xdr:rowOff>96943</xdr:rowOff>
    </xdr:from>
    <xdr:to>
      <xdr:col>3</xdr:col>
      <xdr:colOff>1502184</xdr:colOff>
      <xdr:row>28</xdr:row>
      <xdr:rowOff>168867</xdr:rowOff>
    </xdr:to>
    <xdr:sp macro="" textlink="">
      <xdr:nvSpPr>
        <xdr:cNvPr id="9" name="Textfeld 11">
          <a:hlinkClick xmlns:r="http://schemas.openxmlformats.org/officeDocument/2006/relationships" r:id="rId6"/>
          <a:extLst>
            <a:ext uri="{FF2B5EF4-FFF2-40B4-BE49-F238E27FC236}">
              <a16:creationId xmlns:a16="http://schemas.microsoft.com/office/drawing/2014/main" id="{00000000-0008-0000-0000-000009000000}"/>
            </a:ext>
          </a:extLst>
        </xdr:cNvPr>
        <xdr:cNvSpPr txBox="1"/>
      </xdr:nvSpPr>
      <xdr:spPr>
        <a:xfrm>
          <a:off x="2293963" y="7983643"/>
          <a:ext cx="57220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4</a:t>
          </a:r>
        </a:p>
      </xdr:txBody>
    </xdr:sp>
    <xdr:clientData/>
  </xdr:twoCellAnchor>
  <xdr:twoCellAnchor>
    <xdr:from>
      <xdr:col>4</xdr:col>
      <xdr:colOff>19049</xdr:colOff>
      <xdr:row>27</xdr:row>
      <xdr:rowOff>83608</xdr:rowOff>
    </xdr:from>
    <xdr:to>
      <xdr:col>4</xdr:col>
      <xdr:colOff>573292</xdr:colOff>
      <xdr:row>28</xdr:row>
      <xdr:rowOff>159095</xdr:rowOff>
    </xdr:to>
    <xdr:sp macro="" textlink="">
      <xdr:nvSpPr>
        <xdr:cNvPr id="10" name="Textfeld 12">
          <a:hlinkClick xmlns:r="http://schemas.openxmlformats.org/officeDocument/2006/relationships" r:id="rId7"/>
          <a:extLst>
            <a:ext uri="{FF2B5EF4-FFF2-40B4-BE49-F238E27FC236}">
              <a16:creationId xmlns:a16="http://schemas.microsoft.com/office/drawing/2014/main" id="{00000000-0008-0000-0000-00000A000000}"/>
            </a:ext>
          </a:extLst>
        </xdr:cNvPr>
        <xdr:cNvSpPr txBox="1"/>
      </xdr:nvSpPr>
      <xdr:spPr>
        <a:xfrm>
          <a:off x="2937509" y="7295938"/>
          <a:ext cx="550433"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5</a:t>
          </a:r>
        </a:p>
      </xdr:txBody>
    </xdr:sp>
    <xdr:clientData/>
  </xdr:twoCellAnchor>
  <xdr:twoCellAnchor>
    <xdr:from>
      <xdr:col>1</xdr:col>
      <xdr:colOff>95250</xdr:colOff>
      <xdr:row>19</xdr:row>
      <xdr:rowOff>163418</xdr:rowOff>
    </xdr:from>
    <xdr:to>
      <xdr:col>4</xdr:col>
      <xdr:colOff>571009</xdr:colOff>
      <xdr:row>21</xdr:row>
      <xdr:rowOff>60082</xdr:rowOff>
    </xdr:to>
    <xdr:sp macro="" textlink="">
      <xdr:nvSpPr>
        <xdr:cNvPr id="11" name="Textfeld 14">
          <a:hlinkClick xmlns:r="http://schemas.openxmlformats.org/officeDocument/2006/relationships" r:id="rId8"/>
          <a:extLst>
            <a:ext uri="{FF2B5EF4-FFF2-40B4-BE49-F238E27FC236}">
              <a16:creationId xmlns:a16="http://schemas.microsoft.com/office/drawing/2014/main" id="{00000000-0008-0000-0000-00000B000000}"/>
            </a:ext>
          </a:extLst>
        </xdr:cNvPr>
        <xdr:cNvSpPr txBox="1"/>
      </xdr:nvSpPr>
      <xdr:spPr>
        <a:xfrm>
          <a:off x="377190" y="6194648"/>
          <a:ext cx="3108469" cy="233849"/>
        </a:xfrm>
        <a:prstGeom prst="rect">
          <a:avLst/>
        </a:prstGeom>
        <a:solidFill>
          <a:srgbClr val="33CCCC"/>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Ergebnisse LZK</a:t>
          </a:r>
        </a:p>
      </xdr:txBody>
    </xdr:sp>
    <xdr:clientData/>
  </xdr:twoCellAnchor>
  <xdr:twoCellAnchor>
    <xdr:from>
      <xdr:col>3</xdr:col>
      <xdr:colOff>350567</xdr:colOff>
      <xdr:row>8</xdr:row>
      <xdr:rowOff>405539</xdr:rowOff>
    </xdr:from>
    <xdr:to>
      <xdr:col>3</xdr:col>
      <xdr:colOff>466191</xdr:colOff>
      <xdr:row>10</xdr:row>
      <xdr:rowOff>49677</xdr:rowOff>
    </xdr:to>
    <xdr:sp macro="" textlink="">
      <xdr:nvSpPr>
        <xdr:cNvPr id="12" name="Pfeil nach unten 19">
          <a:extLst>
            <a:ext uri="{FF2B5EF4-FFF2-40B4-BE49-F238E27FC236}">
              <a16:creationId xmlns:a16="http://schemas.microsoft.com/office/drawing/2014/main" id="{00000000-0008-0000-0000-00000C000000}"/>
            </a:ext>
          </a:extLst>
        </xdr:cNvPr>
        <xdr:cNvSpPr/>
      </xdr:nvSpPr>
      <xdr:spPr>
        <a:xfrm rot="1655546">
          <a:off x="1724072" y="3354479"/>
          <a:ext cx="115624" cy="347083"/>
        </a:xfrm>
        <a:prstGeom prst="downArrow">
          <a:avLst>
            <a:gd name="adj1" fmla="val 50000"/>
            <a:gd name="adj2" fmla="val 4795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3</xdr:col>
      <xdr:colOff>166161</xdr:colOff>
      <xdr:row>14</xdr:row>
      <xdr:rowOff>38774</xdr:rowOff>
    </xdr:from>
    <xdr:to>
      <xdr:col>3</xdr:col>
      <xdr:colOff>297140</xdr:colOff>
      <xdr:row>19</xdr:row>
      <xdr:rowOff>96724</xdr:rowOff>
    </xdr:to>
    <xdr:sp macro="" textlink="">
      <xdr:nvSpPr>
        <xdr:cNvPr id="13" name="Pfeil nach unten 20">
          <a:extLst>
            <a:ext uri="{FF2B5EF4-FFF2-40B4-BE49-F238E27FC236}">
              <a16:creationId xmlns:a16="http://schemas.microsoft.com/office/drawing/2014/main" id="{00000000-0008-0000-0000-00000D000000}"/>
            </a:ext>
          </a:extLst>
        </xdr:cNvPr>
        <xdr:cNvSpPr/>
      </xdr:nvSpPr>
      <xdr:spPr>
        <a:xfrm rot="20650205">
          <a:off x="1541571" y="4325024"/>
          <a:ext cx="125264" cy="1797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1</xdr:col>
      <xdr:colOff>95250</xdr:colOff>
      <xdr:row>23</xdr:row>
      <xdr:rowOff>56738</xdr:rowOff>
    </xdr:from>
    <xdr:to>
      <xdr:col>4</xdr:col>
      <xdr:colOff>571009</xdr:colOff>
      <xdr:row>24</xdr:row>
      <xdr:rowOff>132472</xdr:rowOff>
    </xdr:to>
    <xdr:sp macro="" textlink="">
      <xdr:nvSpPr>
        <xdr:cNvPr id="14" name="Textfeld 14">
          <a:hlinkClick xmlns:r="http://schemas.openxmlformats.org/officeDocument/2006/relationships" r:id="rId9"/>
          <a:extLst>
            <a:ext uri="{FF2B5EF4-FFF2-40B4-BE49-F238E27FC236}">
              <a16:creationId xmlns:a16="http://schemas.microsoft.com/office/drawing/2014/main" id="{00000000-0008-0000-0000-00000E000000}"/>
            </a:ext>
          </a:extLst>
        </xdr:cNvPr>
        <xdr:cNvSpPr txBox="1"/>
      </xdr:nvSpPr>
      <xdr:spPr>
        <a:xfrm>
          <a:off x="377190" y="6775673"/>
          <a:ext cx="3108469" cy="247184"/>
        </a:xfrm>
        <a:prstGeom prst="rect">
          <a:avLst/>
        </a:prstGeom>
        <a:solidFill>
          <a:schemeClr val="tx2">
            <a:lumMod val="75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solidFill>
                <a:schemeClr val="bg1"/>
              </a:solidFill>
              <a:latin typeface="Arial" panose="020B0604020202020204" pitchFamily="34" charset="0"/>
              <a:cs typeface="Arial" panose="020B0604020202020204" pitchFamily="34" charset="0"/>
            </a:rPr>
            <a:t>Ergebnisse Umweltkosten</a:t>
          </a:r>
        </a:p>
      </xdr:txBody>
    </xdr:sp>
    <xdr:clientData/>
  </xdr:twoCellAnchor>
  <xdr:twoCellAnchor>
    <xdr:from>
      <xdr:col>3</xdr:col>
      <xdr:colOff>590550</xdr:colOff>
      <xdr:row>13</xdr:row>
      <xdr:rowOff>9525</xdr:rowOff>
    </xdr:from>
    <xdr:to>
      <xdr:col>4</xdr:col>
      <xdr:colOff>561975</xdr:colOff>
      <xdr:row>17</xdr:row>
      <xdr:rowOff>476250</xdr:rowOff>
    </xdr:to>
    <xdr:sp macro="" textlink="">
      <xdr:nvSpPr>
        <xdr:cNvPr id="15" name="Rechteck 14">
          <a:hlinkClick xmlns:r="http://schemas.openxmlformats.org/officeDocument/2006/relationships" r:id="rId10"/>
          <a:extLst>
            <a:ext uri="{FF2B5EF4-FFF2-40B4-BE49-F238E27FC236}">
              <a16:creationId xmlns:a16="http://schemas.microsoft.com/office/drawing/2014/main" id="{00000000-0008-0000-0000-00000F000000}"/>
            </a:ext>
          </a:extLst>
        </xdr:cNvPr>
        <xdr:cNvSpPr/>
      </xdr:nvSpPr>
      <xdr:spPr>
        <a:xfrm>
          <a:off x="1958340" y="4240530"/>
          <a:ext cx="1516380" cy="168973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000"/>
        </a:p>
        <a:p>
          <a:pPr algn="l"/>
          <a:endParaRPr lang="de-DE" sz="1000"/>
        </a:p>
        <a:p>
          <a:pPr algn="l"/>
          <a:endParaRPr lang="de-DE" sz="900">
            <a:solidFill>
              <a:sysClr val="windowText" lastClr="000000"/>
            </a:solidFill>
            <a:latin typeface="Arial" panose="020B0604020202020204" pitchFamily="34" charset="0"/>
            <a:cs typeface="Arial" panose="020B0604020202020204" pitchFamily="34" charset="0"/>
          </a:endParaRPr>
        </a:p>
        <a:p>
          <a:pPr algn="l"/>
          <a:endParaRPr lang="de-DE" sz="1100">
            <a:solidFill>
              <a:sysClr val="windowText" lastClr="000000"/>
            </a:solidFill>
            <a:latin typeface="Arial" panose="020B0604020202020204" pitchFamily="34" charset="0"/>
            <a:cs typeface="Arial" panose="020B0604020202020204" pitchFamily="34" charset="0"/>
          </a:endParaRPr>
        </a:p>
        <a:p>
          <a:pPr algn="l"/>
          <a:endParaRPr lang="de-DE" sz="800">
            <a:solidFill>
              <a:sysClr val="windowText" lastClr="000000"/>
            </a:solidFill>
            <a:latin typeface="Arial" panose="020B0604020202020204" pitchFamily="34" charset="0"/>
            <a:cs typeface="Arial" panose="020B0604020202020204" pitchFamily="34" charset="0"/>
          </a:endParaRPr>
        </a:p>
        <a:p>
          <a:pPr algn="l"/>
          <a:r>
            <a:rPr lang="de-DE" sz="1100">
              <a:solidFill>
                <a:sysClr val="windowText" lastClr="000000"/>
              </a:solidFill>
              <a:latin typeface="Arial" panose="020B0604020202020204" pitchFamily="34" charset="0"/>
              <a:cs typeface="Arial" panose="020B0604020202020204" pitchFamily="34" charset="0"/>
            </a:rPr>
            <a:t> Grunddaten</a:t>
          </a:r>
        </a:p>
      </xdr:txBody>
    </xdr:sp>
    <xdr:clientData/>
  </xdr:twoCellAnchor>
  <xdr:twoCellAnchor editAs="oneCell">
    <xdr:from>
      <xdr:col>1</xdr:col>
      <xdr:colOff>7620</xdr:colOff>
      <xdr:row>3</xdr:row>
      <xdr:rowOff>160020</xdr:rowOff>
    </xdr:from>
    <xdr:to>
      <xdr:col>3</xdr:col>
      <xdr:colOff>610235</xdr:colOff>
      <xdr:row>3</xdr:row>
      <xdr:rowOff>629920</xdr:rowOff>
    </xdr:to>
    <xdr:pic>
      <xdr:nvPicPr>
        <xdr:cNvPr id="17" name="Grafik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95275" y="704850"/>
          <a:ext cx="1684655" cy="466090"/>
        </a:xfrm>
        <a:prstGeom prst="rect">
          <a:avLst/>
        </a:prstGeom>
      </xdr:spPr>
    </xdr:pic>
    <xdr:clientData/>
  </xdr:twoCellAnchor>
  <xdr:twoCellAnchor>
    <xdr:from>
      <xdr:col>3</xdr:col>
      <xdr:colOff>895350</xdr:colOff>
      <xdr:row>14</xdr:row>
      <xdr:rowOff>38100</xdr:rowOff>
    </xdr:from>
    <xdr:to>
      <xdr:col>4</xdr:col>
      <xdr:colOff>474346</xdr:colOff>
      <xdr:row>15</xdr:row>
      <xdr:rowOff>323850</xdr:rowOff>
    </xdr:to>
    <xdr:sp macro="" textlink="">
      <xdr:nvSpPr>
        <xdr:cNvPr id="20" name="Textfeld 3">
          <a:hlinkClick xmlns:r="http://schemas.openxmlformats.org/officeDocument/2006/relationships" r:id="rId10"/>
          <a:extLst>
            <a:ext uri="{FF2B5EF4-FFF2-40B4-BE49-F238E27FC236}">
              <a16:creationId xmlns:a16="http://schemas.microsoft.com/office/drawing/2014/main" id="{00000000-0008-0000-0000-000014000000}"/>
            </a:ext>
          </a:extLst>
        </xdr:cNvPr>
        <xdr:cNvSpPr txBox="1"/>
      </xdr:nvSpPr>
      <xdr:spPr>
        <a:xfrm>
          <a:off x="2263140" y="4324350"/>
          <a:ext cx="1129666" cy="462915"/>
        </a:xfrm>
        <a:prstGeom prst="rect">
          <a:avLst/>
        </a:prstGeom>
        <a:solidFill>
          <a:schemeClr val="accent6">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Mindest-anforderungen</a:t>
          </a:r>
        </a:p>
      </xdr:txBody>
    </xdr:sp>
    <xdr:clientData/>
  </xdr:twoCellAnchor>
  <xdr:twoCellAnchor>
    <xdr:from>
      <xdr:col>3</xdr:col>
      <xdr:colOff>895350</xdr:colOff>
      <xdr:row>16</xdr:row>
      <xdr:rowOff>5715</xdr:rowOff>
    </xdr:from>
    <xdr:to>
      <xdr:col>4</xdr:col>
      <xdr:colOff>485776</xdr:colOff>
      <xdr:row>17</xdr:row>
      <xdr:rowOff>386715</xdr:rowOff>
    </xdr:to>
    <xdr:sp macro="" textlink="">
      <xdr:nvSpPr>
        <xdr:cNvPr id="21" name="Textfeld 3">
          <a:hlinkClick xmlns:r="http://schemas.openxmlformats.org/officeDocument/2006/relationships" r:id="rId10"/>
          <a:extLst>
            <a:ext uri="{FF2B5EF4-FFF2-40B4-BE49-F238E27FC236}">
              <a16:creationId xmlns:a16="http://schemas.microsoft.com/office/drawing/2014/main" id="{00000000-0008-0000-0000-000015000000}"/>
            </a:ext>
          </a:extLst>
        </xdr:cNvPr>
        <xdr:cNvSpPr txBox="1"/>
      </xdr:nvSpPr>
      <xdr:spPr>
        <a:xfrm>
          <a:off x="2263140" y="5408295"/>
          <a:ext cx="1135381" cy="438150"/>
        </a:xfrm>
        <a:prstGeom prst="rect">
          <a:avLst/>
        </a:prstGeom>
        <a:solidFill>
          <a:schemeClr val="accent5">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Energie- + Umweltkosten</a:t>
          </a:r>
        </a:p>
      </xdr:txBody>
    </xdr:sp>
    <xdr:clientData/>
  </xdr:twoCellAnchor>
  <xdr:twoCellAnchor>
    <xdr:from>
      <xdr:col>3</xdr:col>
      <xdr:colOff>792986</xdr:colOff>
      <xdr:row>11</xdr:row>
      <xdr:rowOff>140664</xdr:rowOff>
    </xdr:from>
    <xdr:to>
      <xdr:col>3</xdr:col>
      <xdr:colOff>904178</xdr:colOff>
      <xdr:row>14</xdr:row>
      <xdr:rowOff>20649</xdr:rowOff>
    </xdr:to>
    <xdr:sp macro="" textlink="">
      <xdr:nvSpPr>
        <xdr:cNvPr id="22" name="Pfeil nach links und rechts 2">
          <a:extLst>
            <a:ext uri="{FF2B5EF4-FFF2-40B4-BE49-F238E27FC236}">
              <a16:creationId xmlns:a16="http://schemas.microsoft.com/office/drawing/2014/main" id="{00000000-0008-0000-0000-000016000000}"/>
            </a:ext>
          </a:extLst>
        </xdr:cNvPr>
        <xdr:cNvSpPr/>
      </xdr:nvSpPr>
      <xdr:spPr>
        <a:xfrm rot="3285678">
          <a:off x="2044922" y="4074138"/>
          <a:ext cx="346710" cy="111192"/>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685140</xdr:colOff>
      <xdr:row>17</xdr:row>
      <xdr:rowOff>327103</xdr:rowOff>
    </xdr:from>
    <xdr:to>
      <xdr:col>3</xdr:col>
      <xdr:colOff>801867</xdr:colOff>
      <xdr:row>19</xdr:row>
      <xdr:rowOff>92137</xdr:rowOff>
    </xdr:to>
    <xdr:sp macro="" textlink="">
      <xdr:nvSpPr>
        <xdr:cNvPr id="23" name="Pfeil nach unten 26">
          <a:extLst>
            <a:ext uri="{FF2B5EF4-FFF2-40B4-BE49-F238E27FC236}">
              <a16:creationId xmlns:a16="http://schemas.microsoft.com/office/drawing/2014/main" id="{00000000-0008-0000-0000-000017000000}"/>
            </a:ext>
          </a:extLst>
        </xdr:cNvPr>
        <xdr:cNvSpPr/>
      </xdr:nvSpPr>
      <xdr:spPr>
        <a:xfrm rot="2012242">
          <a:off x="2056740" y="5781118"/>
          <a:ext cx="116727" cy="344154"/>
        </a:xfrm>
        <a:prstGeom prst="downArrow">
          <a:avLst>
            <a:gd name="adj1" fmla="val 50000"/>
            <a:gd name="adj2" fmla="val 5634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editAs="oneCell">
    <xdr:from>
      <xdr:col>8</xdr:col>
      <xdr:colOff>25297</xdr:colOff>
      <xdr:row>2</xdr:row>
      <xdr:rowOff>134372</xdr:rowOff>
    </xdr:from>
    <xdr:to>
      <xdr:col>9</xdr:col>
      <xdr:colOff>134296</xdr:colOff>
      <xdr:row>3</xdr:row>
      <xdr:rowOff>860846</xdr:rowOff>
    </xdr:to>
    <xdr:pic>
      <xdr:nvPicPr>
        <xdr:cNvPr id="27" name="Grafik 26">
          <a:extLst>
            <a:ext uri="{FF2B5EF4-FFF2-40B4-BE49-F238E27FC236}">
              <a16:creationId xmlns:a16="http://schemas.microsoft.com/office/drawing/2014/main" id="{9C66517A-7F6D-4B39-93E0-6F256706E8E8}"/>
            </a:ext>
          </a:extLst>
        </xdr:cNvPr>
        <xdr:cNvPicPr>
          <a:picLocks noChangeAspect="1"/>
        </xdr:cNvPicPr>
      </xdr:nvPicPr>
      <xdr:blipFill>
        <a:blip xmlns:r="http://schemas.openxmlformats.org/officeDocument/2006/relationships" r:embed="rId12"/>
        <a:stretch>
          <a:fillRect/>
        </a:stretch>
      </xdr:blipFill>
      <xdr:spPr>
        <a:xfrm>
          <a:off x="6090195" y="513428"/>
          <a:ext cx="900079" cy="912853"/>
        </a:xfrm>
        <a:prstGeom prst="rect">
          <a:avLst/>
        </a:prstGeom>
      </xdr:spPr>
    </xdr:pic>
    <xdr:clientData/>
  </xdr:twoCellAnchor>
  <xdr:twoCellAnchor editAs="oneCell">
    <xdr:from>
      <xdr:col>5</xdr:col>
      <xdr:colOff>728954</xdr:colOff>
      <xdr:row>2</xdr:row>
      <xdr:rowOff>123154</xdr:rowOff>
    </xdr:from>
    <xdr:to>
      <xdr:col>7</xdr:col>
      <xdr:colOff>591947</xdr:colOff>
      <xdr:row>3</xdr:row>
      <xdr:rowOff>876771</xdr:rowOff>
    </xdr:to>
    <xdr:pic>
      <xdr:nvPicPr>
        <xdr:cNvPr id="28" name="Grafik 27">
          <a:extLst>
            <a:ext uri="{FF2B5EF4-FFF2-40B4-BE49-F238E27FC236}">
              <a16:creationId xmlns:a16="http://schemas.microsoft.com/office/drawing/2014/main" id="{64FC67D3-27F2-4CCC-9FE1-DBD87120268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432041" y="502210"/>
          <a:ext cx="1428009" cy="928566"/>
        </a:xfrm>
        <a:prstGeom prst="rect">
          <a:avLst/>
        </a:prstGeom>
      </xdr:spPr>
    </xdr:pic>
    <xdr:clientData/>
  </xdr:twoCellAnchor>
  <xdr:twoCellAnchor editAs="oneCell">
    <xdr:from>
      <xdr:col>9</xdr:col>
      <xdr:colOff>380751</xdr:colOff>
      <xdr:row>2</xdr:row>
      <xdr:rowOff>38877</xdr:rowOff>
    </xdr:from>
    <xdr:to>
      <xdr:col>10</xdr:col>
      <xdr:colOff>188028</xdr:colOff>
      <xdr:row>3</xdr:row>
      <xdr:rowOff>875265</xdr:rowOff>
    </xdr:to>
    <xdr:pic>
      <xdr:nvPicPr>
        <xdr:cNvPr id="29" name="Grafik 28">
          <a:extLst>
            <a:ext uri="{FF2B5EF4-FFF2-40B4-BE49-F238E27FC236}">
              <a16:creationId xmlns:a16="http://schemas.microsoft.com/office/drawing/2014/main" id="{E93EF25D-A19F-488F-B1E8-1874A398538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232919" y="417933"/>
          <a:ext cx="1002762" cy="10113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15240</xdr:colOff>
      <xdr:row>0</xdr:row>
      <xdr:rowOff>114300</xdr:rowOff>
    </xdr:from>
    <xdr:to>
      <xdr:col>8</xdr:col>
      <xdr:colOff>777239</xdr:colOff>
      <xdr:row>2</xdr:row>
      <xdr:rowOff>68580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4556760" y="1143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22860</xdr:colOff>
      <xdr:row>0</xdr:row>
      <xdr:rowOff>99060</xdr:rowOff>
    </xdr:from>
    <xdr:to>
      <xdr:col>17</xdr:col>
      <xdr:colOff>784859</xdr:colOff>
      <xdr:row>2</xdr:row>
      <xdr:rowOff>53340</xdr:rowOff>
    </xdr:to>
    <xdr:sp macro="" textlink="">
      <xdr:nvSpPr>
        <xdr:cNvPr id="3" name="Textfeld 5">
          <a:hlinkClick xmlns:r="http://schemas.openxmlformats.org/officeDocument/2006/relationships" r:id="rId1"/>
          <a:extLst>
            <a:ext uri="{FF2B5EF4-FFF2-40B4-BE49-F238E27FC236}">
              <a16:creationId xmlns:a16="http://schemas.microsoft.com/office/drawing/2014/main" id="{00000000-0008-0000-0D00-000003000000}"/>
            </a:ext>
          </a:extLst>
        </xdr:cNvPr>
        <xdr:cNvSpPr txBox="1"/>
      </xdr:nvSpPr>
      <xdr:spPr>
        <a:xfrm>
          <a:off x="12230100" y="990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twoCellAnchor editAs="oneCell">
    <xdr:from>
      <xdr:col>1</xdr:col>
      <xdr:colOff>0</xdr:colOff>
      <xdr:row>3</xdr:row>
      <xdr:rowOff>0</xdr:rowOff>
    </xdr:from>
    <xdr:to>
      <xdr:col>15</xdr:col>
      <xdr:colOff>131428</xdr:colOff>
      <xdr:row>37</xdr:row>
      <xdr:rowOff>91440</xdr:rowOff>
    </xdr:to>
    <xdr:pic>
      <xdr:nvPicPr>
        <xdr:cNvPr id="7" name="Grafik 6">
          <a:extLst>
            <a:ext uri="{FF2B5EF4-FFF2-40B4-BE49-F238E27FC236}">
              <a16:creationId xmlns:a16="http://schemas.microsoft.com/office/drawing/2014/main" id="{9C8ECB24-18CF-455C-8A64-55DBA6177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040" y="525780"/>
          <a:ext cx="11681443" cy="60502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194733</xdr:colOff>
      <xdr:row>16</xdr:row>
      <xdr:rowOff>25400</xdr:rowOff>
    </xdr:from>
    <xdr:to>
      <xdr:col>2</xdr:col>
      <xdr:colOff>660400</xdr:colOff>
      <xdr:row>20</xdr:row>
      <xdr:rowOff>110067</xdr:rowOff>
    </xdr:to>
    <xdr:sp macro="" textlink="">
      <xdr:nvSpPr>
        <xdr:cNvPr id="3" name="Geschweifte Klammer rechts 2">
          <a:extLst>
            <a:ext uri="{FF2B5EF4-FFF2-40B4-BE49-F238E27FC236}">
              <a16:creationId xmlns:a16="http://schemas.microsoft.com/office/drawing/2014/main" id="{00000000-0008-0000-0C00-000003000000}"/>
            </a:ext>
          </a:extLst>
        </xdr:cNvPr>
        <xdr:cNvSpPr/>
      </xdr:nvSpPr>
      <xdr:spPr>
        <a:xfrm>
          <a:off x="1540933" y="3581400"/>
          <a:ext cx="465667" cy="7958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de-DE"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15240</xdr:colOff>
      <xdr:row>0</xdr:row>
      <xdr:rowOff>60960</xdr:rowOff>
    </xdr:from>
    <xdr:to>
      <xdr:col>5</xdr:col>
      <xdr:colOff>777239</xdr:colOff>
      <xdr:row>2</xdr:row>
      <xdr:rowOff>53340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7833360" y="609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xdr:colOff>
      <xdr:row>0</xdr:row>
      <xdr:rowOff>129540</xdr:rowOff>
    </xdr:from>
    <xdr:to>
      <xdr:col>9</xdr:col>
      <xdr:colOff>777239</xdr:colOff>
      <xdr:row>2</xdr:row>
      <xdr:rowOff>83820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9525000" y="12954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77894</xdr:colOff>
      <xdr:row>11</xdr:row>
      <xdr:rowOff>329565</xdr:rowOff>
    </xdr:from>
    <xdr:to>
      <xdr:col>13</xdr:col>
      <xdr:colOff>124913</xdr:colOff>
      <xdr:row>12</xdr:row>
      <xdr:rowOff>593725</xdr:rowOff>
    </xdr:to>
    <xdr:grpSp>
      <xdr:nvGrpSpPr>
        <xdr:cNvPr id="3" name="Gruppieren 2">
          <a:extLst>
            <a:ext uri="{FF2B5EF4-FFF2-40B4-BE49-F238E27FC236}">
              <a16:creationId xmlns:a16="http://schemas.microsoft.com/office/drawing/2014/main" id="{00000000-0008-0000-0200-000003000000}"/>
            </a:ext>
          </a:extLst>
        </xdr:cNvPr>
        <xdr:cNvGrpSpPr/>
      </xdr:nvGrpSpPr>
      <xdr:grpSpPr>
        <a:xfrm>
          <a:off x="10471574" y="2432685"/>
          <a:ext cx="1631979" cy="972820"/>
          <a:chOff x="8390255" y="2565400"/>
          <a:chExt cx="1643409" cy="965200"/>
        </a:xfrm>
      </xdr:grpSpPr>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0255" y="2565400"/>
            <a:ext cx="1643409" cy="965200"/>
          </a:xfrm>
          <a:prstGeom prst="rect">
            <a:avLst/>
          </a:prstGeom>
        </xdr:spPr>
      </xdr:pic>
      <xdr:sp macro="" textlink="">
        <xdr:nvSpPr>
          <xdr:cNvPr id="5" name="Rechteck 4">
            <a:extLst>
              <a:ext uri="{FF2B5EF4-FFF2-40B4-BE49-F238E27FC236}">
                <a16:creationId xmlns:a16="http://schemas.microsoft.com/office/drawing/2014/main" id="{00000000-0008-0000-0200-000005000000}"/>
              </a:ext>
            </a:extLst>
          </xdr:cNvPr>
          <xdr:cNvSpPr/>
        </xdr:nvSpPr>
        <xdr:spPr>
          <a:xfrm>
            <a:off x="8893399" y="3214146"/>
            <a:ext cx="267970" cy="30625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10</xdr:col>
      <xdr:colOff>7620</xdr:colOff>
      <xdr:row>0</xdr:row>
      <xdr:rowOff>144780</xdr:rowOff>
    </xdr:from>
    <xdr:to>
      <xdr:col>12</xdr:col>
      <xdr:colOff>281939</xdr:colOff>
      <xdr:row>2</xdr:row>
      <xdr:rowOff>99060</xdr:rowOff>
    </xdr:to>
    <xdr:sp macro="" textlink="">
      <xdr:nvSpPr>
        <xdr:cNvPr id="6" name="Textfeld 5">
          <a:hlinkClick xmlns:r="http://schemas.openxmlformats.org/officeDocument/2006/relationships" r:id="rId2"/>
          <a:extLst>
            <a:ext uri="{FF2B5EF4-FFF2-40B4-BE49-F238E27FC236}">
              <a16:creationId xmlns:a16="http://schemas.microsoft.com/office/drawing/2014/main" id="{00000000-0008-0000-0200-000006000000}"/>
            </a:ext>
          </a:extLst>
        </xdr:cNvPr>
        <xdr:cNvSpPr txBox="1"/>
      </xdr:nvSpPr>
      <xdr:spPr>
        <a:xfrm>
          <a:off x="7932420" y="1447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34</xdr:row>
      <xdr:rowOff>123825</xdr:rowOff>
    </xdr:from>
    <xdr:to>
      <xdr:col>7</xdr:col>
      <xdr:colOff>779145</xdr:colOff>
      <xdr:row>35</xdr:row>
      <xdr:rowOff>57150</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300-000003000000}"/>
            </a:ext>
          </a:extLst>
        </xdr:cNvPr>
        <xdr:cNvSpPr txBox="1"/>
      </xdr:nvSpPr>
      <xdr:spPr>
        <a:xfrm>
          <a:off x="854202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29</xdr:row>
      <xdr:rowOff>123825</xdr:rowOff>
    </xdr:from>
    <xdr:to>
      <xdr:col>7</xdr:col>
      <xdr:colOff>779145</xdr:colOff>
      <xdr:row>30</xdr:row>
      <xdr:rowOff>57150</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400-000003000000}"/>
            </a:ext>
          </a:extLst>
        </xdr:cNvPr>
        <xdr:cNvSpPr txBox="1"/>
      </xdr:nvSpPr>
      <xdr:spPr>
        <a:xfrm>
          <a:off x="852678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22860</xdr:colOff>
      <xdr:row>1</xdr:row>
      <xdr:rowOff>0</xdr:rowOff>
    </xdr:from>
    <xdr:to>
      <xdr:col>11</xdr:col>
      <xdr:colOff>784859</xdr:colOff>
      <xdr:row>2</xdr:row>
      <xdr:rowOff>129540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7924800" y="1828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theme/theme1.xml><?xml version="1.0" encoding="utf-8"?>
<a:theme xmlns:a="http://schemas.openxmlformats.org/drawingml/2006/main" name="Office">
  <a:themeElements>
    <a:clrScheme name="ifeu">
      <a:dk1>
        <a:sysClr val="windowText" lastClr="000000"/>
      </a:dk1>
      <a:lt1>
        <a:sysClr val="window" lastClr="FFFFFF"/>
      </a:lt1>
      <a:dk2>
        <a:srgbClr val="93C120"/>
      </a:dk2>
      <a:lt2>
        <a:srgbClr val="626B71"/>
      </a:lt2>
      <a:accent1>
        <a:srgbClr val="D2D12A"/>
      </a:accent1>
      <a:accent2>
        <a:srgbClr val="AE6C2D"/>
      </a:accent2>
      <a:accent3>
        <a:srgbClr val="EFD444"/>
      </a:accent3>
      <a:accent4>
        <a:srgbClr val="E98F00"/>
      </a:accent4>
      <a:accent5>
        <a:srgbClr val="BF303F"/>
      </a:accent5>
      <a:accent6>
        <a:srgbClr val="2F4E66"/>
      </a:accent6>
      <a:hlink>
        <a:srgbClr val="C7BA96"/>
      </a:hlink>
      <a:folHlink>
        <a:srgbClr val="9F598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ulia.pelzeter@ifeu.de?subject=Frage%20zum%20Lebenszykluskosten-Rechn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nachhaltige-oeffentliche-pkw-beschaffung.de/assets/downloads/LZK-Rechner_Fahrzeuge_Dokumentation.pdf"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8" Type="http://schemas.openxmlformats.org/officeDocument/2006/relationships/hyperlink" Target="https://www.umweltbundesamt.de/publikationen/analyse-der-umweltbilanz-von-kraftfahrzeugen" TargetMode="External"/><Relationship Id="rId13" Type="http://schemas.openxmlformats.org/officeDocument/2006/relationships/hyperlink" Target="https://www.lichtblick.de/ladesaeulencheck/" TargetMode="External"/><Relationship Id="rId3" Type="http://schemas.openxmlformats.org/officeDocument/2006/relationships/hyperlink" Target="https://www.bdew.de/service/daten-und-grafiken/bdew-strompreisanalyse/" TargetMode="External"/><Relationship Id="rId7" Type="http://schemas.openxmlformats.org/officeDocument/2006/relationships/hyperlink" Target="https://www.isi.fraunhofer.de/content/dam/isi/dokumente/cce/2021/BMU_Kurzpapier_UF_final.pdf" TargetMode="External"/><Relationship Id="rId12" Type="http://schemas.openxmlformats.org/officeDocument/2006/relationships/hyperlink" Target="https://www.cng-club.de/cng_tankstellen_deutschland_europa" TargetMode="External"/><Relationship Id="rId2" Type="http://schemas.openxmlformats.org/officeDocument/2006/relationships/hyperlink" Target="https://www.beuc.eu/publications/beuc-x-2016-121_low_carbon_cars_in_the_2020s-report.pdf" TargetMode="External"/><Relationship Id="rId1" Type="http://schemas.openxmlformats.org/officeDocument/2006/relationships/hyperlink" Target="https://www.ifeu.de/methoden-tools/modelle/tremod/" TargetMode="External"/><Relationship Id="rId6" Type="http://schemas.openxmlformats.org/officeDocument/2006/relationships/hyperlink" Target="https://www.nachhaltige-oeffentliche-pkw-beschaffung.de/assets/downloads/Abschlussbericht_Umweltvertraegliche_Pkw-Beschaffung_ifeu.pdf" TargetMode="External"/><Relationship Id="rId11" Type="http://schemas.openxmlformats.org/officeDocument/2006/relationships/hyperlink" Target="https://www.transportenvironment.org/uploads/files/legacy/2022_05_TE_LCA_update.pdf.pdf" TargetMode="External"/><Relationship Id="rId5" Type="http://schemas.openxmlformats.org/officeDocument/2006/relationships/hyperlink" Target="https://www.umweltbundesamt.de/publikationen/aktualisierung-tremodtremod-mm-ermittlung-der" TargetMode="External"/><Relationship Id="rId15" Type="http://schemas.openxmlformats.org/officeDocument/2006/relationships/drawing" Target="../drawings/drawing15.xml"/><Relationship Id="rId10" Type="http://schemas.openxmlformats.org/officeDocument/2006/relationships/hyperlink" Target="https://www.umweltbundesamt.de/sites/default/files/medien/11850/publikationen/23_2024_cc_strommix_07_2024.pdf" TargetMode="External"/><Relationship Id="rId4" Type="http://schemas.openxmlformats.org/officeDocument/2006/relationships/hyperlink" Target="https://www.adac.de/verkehr/tanken-kraftstoff-antrieb/deutschland/kraftstoffpreisentwicklung/" TargetMode="External"/><Relationship Id="rId9" Type="http://schemas.openxmlformats.org/officeDocument/2006/relationships/hyperlink" Target="https://www.umweltbundesamt.de/daten/umwelt-wirtschaft/gesellschaftliche-kosten-von-umweltbelastungen" TargetMode="External"/><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9"/>
  <sheetViews>
    <sheetView showGridLines="0" zoomScaleNormal="100" workbookViewId="0">
      <selection activeCell="A60" sqref="A60"/>
    </sheetView>
  </sheetViews>
  <sheetFormatPr baseColWidth="10" defaultColWidth="11.5546875" defaultRowHeight="13.8" x14ac:dyDescent="0.25"/>
  <cols>
    <col min="1" max="1" width="4.109375" style="1" customWidth="1"/>
    <col min="2" max="2" width="12.33203125" style="1" customWidth="1"/>
    <col min="3" max="3" width="3.44140625" style="1" customWidth="1"/>
    <col min="4" max="4" width="22.44140625" style="1" customWidth="1"/>
    <col min="5" max="9" width="11.5546875" style="1"/>
    <col min="10" max="10" width="17.5546875" style="1" customWidth="1"/>
    <col min="11" max="16384" width="11.5546875" style="1"/>
  </cols>
  <sheetData>
    <row r="2" spans="2:10" ht="15.6" x14ac:dyDescent="0.3">
      <c r="B2" s="16" t="s">
        <v>528</v>
      </c>
      <c r="C2" s="16"/>
      <c r="D2" s="16"/>
      <c r="E2" s="143"/>
      <c r="F2" s="144"/>
      <c r="G2" s="16"/>
      <c r="H2" s="16"/>
      <c r="I2" s="16"/>
      <c r="J2" s="268" t="s">
        <v>587</v>
      </c>
    </row>
    <row r="3" spans="2:10" x14ac:dyDescent="0.25">
      <c r="D3" s="115"/>
      <c r="E3" s="115"/>
      <c r="F3" s="115"/>
      <c r="G3" s="115"/>
      <c r="H3" s="115"/>
      <c r="I3" s="115"/>
      <c r="J3" s="115"/>
    </row>
    <row r="4" spans="2:10" ht="76.2" customHeight="1" x14ac:dyDescent="0.25">
      <c r="D4" s="115"/>
      <c r="E4" s="115"/>
      <c r="F4" s="115"/>
      <c r="G4" s="115"/>
      <c r="H4" s="115"/>
      <c r="I4" s="115"/>
      <c r="J4" s="115"/>
    </row>
    <row r="5" spans="2:10" ht="163.19999999999999" customHeight="1" x14ac:dyDescent="0.25">
      <c r="B5" s="391" t="s">
        <v>529</v>
      </c>
      <c r="C5" s="391"/>
      <c r="D5" s="391"/>
      <c r="E5" s="391"/>
      <c r="F5" s="391"/>
      <c r="G5" s="391"/>
      <c r="H5" s="391"/>
      <c r="I5" s="391"/>
      <c r="J5" s="391"/>
    </row>
    <row r="6" spans="2:10" ht="11.4" customHeight="1" x14ac:dyDescent="0.25">
      <c r="B6" s="245"/>
      <c r="C6" s="245"/>
      <c r="D6" s="245"/>
      <c r="E6" s="245"/>
      <c r="F6" s="245"/>
      <c r="G6" s="245"/>
      <c r="H6" s="245"/>
      <c r="I6" s="245"/>
      <c r="J6" s="245"/>
    </row>
    <row r="7" spans="2:10" x14ac:dyDescent="0.25">
      <c r="B7" s="16" t="s">
        <v>0</v>
      </c>
      <c r="C7" s="16"/>
      <c r="D7" s="16"/>
      <c r="E7" s="16"/>
      <c r="F7" s="16"/>
      <c r="G7" s="16"/>
      <c r="H7" s="16"/>
      <c r="I7" s="16"/>
      <c r="J7" s="16"/>
    </row>
    <row r="8" spans="2:10" x14ac:dyDescent="0.25">
      <c r="D8" s="115"/>
      <c r="E8" s="115"/>
      <c r="F8" s="115"/>
      <c r="G8" s="115"/>
      <c r="H8" s="115"/>
      <c r="I8" s="115"/>
      <c r="J8" s="115"/>
    </row>
    <row r="9" spans="2:10" ht="52.2" customHeight="1" x14ac:dyDescent="0.25">
      <c r="D9" s="245"/>
      <c r="E9" s="245"/>
      <c r="F9" s="392" t="s">
        <v>410</v>
      </c>
      <c r="G9" s="392"/>
      <c r="H9" s="392"/>
      <c r="I9" s="392"/>
      <c r="J9" s="392"/>
    </row>
    <row r="10" spans="2:10" ht="4.2" customHeight="1" x14ac:dyDescent="0.25">
      <c r="D10" s="245"/>
      <c r="E10" s="245"/>
      <c r="F10" s="174"/>
      <c r="G10" s="174"/>
      <c r="H10" s="174"/>
      <c r="I10" s="174"/>
      <c r="J10" s="174"/>
    </row>
    <row r="11" spans="2:10" ht="13.95" customHeight="1" x14ac:dyDescent="0.25">
      <c r="D11" s="245"/>
      <c r="E11" s="245"/>
      <c r="F11" s="393" t="s">
        <v>425</v>
      </c>
      <c r="G11" s="394"/>
      <c r="H11" s="394"/>
      <c r="I11" s="394"/>
      <c r="J11" s="394"/>
    </row>
    <row r="12" spans="2:10" ht="13.95" customHeight="1" x14ac:dyDescent="0.25">
      <c r="D12" s="245"/>
      <c r="E12" s="245"/>
      <c r="F12" s="394"/>
      <c r="G12" s="394"/>
      <c r="H12" s="394"/>
      <c r="I12" s="394"/>
      <c r="J12" s="394"/>
    </row>
    <row r="13" spans="2:10" ht="18.600000000000001" customHeight="1" x14ac:dyDescent="0.25">
      <c r="D13" s="245"/>
      <c r="E13" s="245"/>
      <c r="F13" s="394"/>
      <c r="G13" s="394"/>
      <c r="H13" s="394"/>
      <c r="I13" s="394"/>
      <c r="J13" s="394"/>
    </row>
    <row r="14" spans="2:10" ht="4.2" customHeight="1" x14ac:dyDescent="0.25">
      <c r="D14" s="245"/>
      <c r="E14" s="245"/>
      <c r="F14" s="174"/>
      <c r="G14" s="174"/>
      <c r="H14" s="174"/>
      <c r="I14" s="174"/>
      <c r="J14" s="174"/>
    </row>
    <row r="15" spans="2:10" ht="14.4" customHeight="1" x14ac:dyDescent="0.25">
      <c r="D15" s="245"/>
      <c r="E15" s="245"/>
      <c r="F15" s="395" t="s">
        <v>1</v>
      </c>
      <c r="G15" s="396"/>
      <c r="H15" s="396"/>
      <c r="I15" s="396"/>
      <c r="J15" s="396"/>
    </row>
    <row r="16" spans="2:10" ht="73.95" customHeight="1" x14ac:dyDescent="0.25">
      <c r="D16" s="245"/>
      <c r="E16" s="245"/>
      <c r="F16" s="396"/>
      <c r="G16" s="396"/>
      <c r="H16" s="396"/>
      <c r="I16" s="396"/>
      <c r="J16" s="396"/>
    </row>
    <row r="17" spans="2:10" ht="4.2" customHeight="1" x14ac:dyDescent="0.25">
      <c r="D17" s="245"/>
      <c r="E17" s="245"/>
      <c r="F17" s="244"/>
      <c r="G17" s="244"/>
      <c r="H17" s="244"/>
      <c r="I17" s="244"/>
      <c r="J17" s="244"/>
    </row>
    <row r="18" spans="2:10" ht="40.950000000000003" customHeight="1" x14ac:dyDescent="0.25">
      <c r="D18" s="245"/>
      <c r="E18" s="245"/>
      <c r="F18" s="397" t="s">
        <v>2</v>
      </c>
      <c r="G18" s="398"/>
      <c r="H18" s="398"/>
      <c r="I18" s="398"/>
      <c r="J18" s="398"/>
    </row>
    <row r="19" spans="2:10" ht="4.2" customHeight="1" x14ac:dyDescent="0.25">
      <c r="D19" s="245"/>
      <c r="E19" s="245"/>
      <c r="F19" s="244"/>
      <c r="G19" s="244"/>
      <c r="H19" s="244"/>
      <c r="I19" s="244"/>
      <c r="J19" s="244"/>
    </row>
    <row r="20" spans="2:10" ht="13.95" customHeight="1" x14ac:dyDescent="0.25">
      <c r="D20" s="245"/>
      <c r="E20" s="245"/>
      <c r="F20" s="399" t="s">
        <v>3</v>
      </c>
      <c r="G20" s="399"/>
      <c r="H20" s="399"/>
      <c r="I20" s="399"/>
      <c r="J20" s="399"/>
    </row>
    <row r="21" spans="2:10" ht="13.95" customHeight="1" x14ac:dyDescent="0.25">
      <c r="D21" s="245"/>
      <c r="E21" s="245"/>
      <c r="F21" s="399"/>
      <c r="G21" s="399"/>
      <c r="H21" s="399"/>
      <c r="I21" s="399"/>
      <c r="J21" s="399"/>
    </row>
    <row r="22" spans="2:10" ht="22.95" customHeight="1" x14ac:dyDescent="0.25">
      <c r="D22" s="245"/>
      <c r="E22" s="245"/>
      <c r="F22" s="399"/>
      <c r="G22" s="399"/>
      <c r="H22" s="399"/>
      <c r="I22" s="399"/>
      <c r="J22" s="399"/>
    </row>
    <row r="23" spans="2:10" ht="4.2" customHeight="1" x14ac:dyDescent="0.25">
      <c r="D23" s="245"/>
      <c r="E23" s="245"/>
      <c r="F23" s="244"/>
      <c r="G23" s="244"/>
      <c r="H23" s="244"/>
      <c r="I23" s="244"/>
      <c r="J23" s="244"/>
    </row>
    <row r="24" spans="2:10" x14ac:dyDescent="0.25">
      <c r="D24" s="245"/>
      <c r="E24" s="245"/>
      <c r="F24" s="400" t="s">
        <v>4</v>
      </c>
      <c r="G24" s="400"/>
      <c r="H24" s="400"/>
      <c r="I24" s="400"/>
      <c r="J24" s="400"/>
    </row>
    <row r="25" spans="2:10" x14ac:dyDescent="0.25">
      <c r="D25" s="245"/>
      <c r="E25" s="245"/>
      <c r="F25" s="400"/>
      <c r="G25" s="400"/>
      <c r="H25" s="400"/>
      <c r="I25" s="400"/>
      <c r="J25" s="400"/>
    </row>
    <row r="26" spans="2:10" ht="4.2" customHeight="1" x14ac:dyDescent="0.25">
      <c r="D26" s="245"/>
      <c r="E26" s="245"/>
      <c r="F26" s="244"/>
      <c r="G26" s="244"/>
      <c r="H26" s="244"/>
      <c r="I26" s="244"/>
      <c r="J26" s="244"/>
    </row>
    <row r="27" spans="2:10" ht="7.2" customHeight="1" x14ac:dyDescent="0.25">
      <c r="D27" s="245"/>
      <c r="E27" s="245"/>
      <c r="F27" s="390"/>
      <c r="G27" s="390"/>
      <c r="H27" s="390"/>
      <c r="I27" s="390"/>
      <c r="J27" s="390"/>
    </row>
    <row r="28" spans="2:10" ht="13.95" customHeight="1" x14ac:dyDescent="0.25">
      <c r="D28" s="245"/>
      <c r="E28" s="245"/>
      <c r="F28" s="401" t="s">
        <v>426</v>
      </c>
      <c r="G28" s="401"/>
      <c r="H28" s="401"/>
      <c r="I28" s="401"/>
      <c r="J28" s="401"/>
    </row>
    <row r="29" spans="2:10" ht="13.95" customHeight="1" x14ac:dyDescent="0.25">
      <c r="D29" s="245"/>
      <c r="E29" s="245"/>
      <c r="F29" s="401"/>
      <c r="G29" s="401"/>
      <c r="H29" s="401"/>
      <c r="I29" s="401"/>
      <c r="J29" s="401"/>
    </row>
    <row r="30" spans="2:10" ht="6.6" customHeight="1" x14ac:dyDescent="0.25">
      <c r="D30" s="245"/>
      <c r="E30" s="245"/>
      <c r="F30" s="401"/>
      <c r="G30" s="401"/>
      <c r="H30" s="401"/>
      <c r="I30" s="401"/>
      <c r="J30" s="401"/>
    </row>
    <row r="31" spans="2:10" ht="10.199999999999999" customHeight="1" x14ac:dyDescent="0.25">
      <c r="D31" s="245"/>
      <c r="E31" s="245"/>
      <c r="F31" s="402"/>
      <c r="G31" s="402"/>
      <c r="H31" s="402"/>
      <c r="I31" s="402"/>
      <c r="J31" s="402"/>
    </row>
    <row r="32" spans="2:10" x14ac:dyDescent="0.25">
      <c r="B32" s="250" t="s">
        <v>5</v>
      </c>
      <c r="C32" s="251"/>
      <c r="D32" s="252"/>
      <c r="E32" s="252"/>
      <c r="F32" s="251"/>
      <c r="G32" s="252"/>
      <c r="H32" s="252"/>
      <c r="I32" s="253"/>
      <c r="J32" s="253"/>
    </row>
    <row r="33" spans="2:11" ht="6" customHeight="1" x14ac:dyDescent="0.25">
      <c r="D33" s="245"/>
      <c r="E33" s="245"/>
      <c r="F33" s="245"/>
      <c r="G33" s="245"/>
      <c r="H33" s="245"/>
      <c r="I33" s="245"/>
      <c r="J33" s="245"/>
    </row>
    <row r="34" spans="2:11" x14ac:dyDescent="0.25">
      <c r="B34" s="16" t="s">
        <v>6</v>
      </c>
      <c r="C34" s="16"/>
      <c r="D34" s="16"/>
      <c r="E34" s="16"/>
      <c r="F34" s="16"/>
      <c r="G34" s="16"/>
      <c r="H34" s="16"/>
      <c r="I34" s="16"/>
      <c r="J34" s="16"/>
    </row>
    <row r="35" spans="2:11" ht="14.4" thickBot="1" x14ac:dyDescent="0.3">
      <c r="D35" s="115"/>
      <c r="E35" s="115"/>
      <c r="F35" s="115"/>
      <c r="G35" s="115"/>
      <c r="H35" s="115"/>
      <c r="I35" s="115"/>
      <c r="J35" s="115"/>
    </row>
    <row r="36" spans="2:11" ht="14.4" customHeight="1" thickBot="1" x14ac:dyDescent="0.3">
      <c r="B36" s="116"/>
      <c r="C36" s="113"/>
      <c r="D36" s="402" t="s">
        <v>7</v>
      </c>
      <c r="E36" s="402"/>
      <c r="F36" s="402"/>
      <c r="G36" s="402"/>
      <c r="H36" s="402"/>
      <c r="I36" s="402"/>
      <c r="J36" s="402"/>
    </row>
    <row r="37" spans="2:11" ht="14.4" thickBot="1" x14ac:dyDescent="0.3">
      <c r="B37" s="117"/>
      <c r="C37" s="113"/>
      <c r="D37" s="12"/>
      <c r="E37" s="128"/>
      <c r="F37" s="245"/>
      <c r="G37" s="245"/>
      <c r="H37" s="245"/>
      <c r="I37" s="245"/>
      <c r="J37" s="245"/>
    </row>
    <row r="38" spans="2:11" ht="14.4" customHeight="1" thickBot="1" x14ac:dyDescent="0.3">
      <c r="B38" s="241"/>
      <c r="C38" s="113"/>
      <c r="D38" s="390" t="s">
        <v>8</v>
      </c>
      <c r="E38" s="390"/>
      <c r="F38" s="390"/>
      <c r="G38" s="390"/>
      <c r="H38" s="390"/>
      <c r="I38" s="390"/>
      <c r="J38" s="390"/>
    </row>
    <row r="39" spans="2:11" ht="14.4" customHeight="1" thickBot="1" x14ac:dyDescent="0.3">
      <c r="D39" s="390"/>
      <c r="E39" s="390"/>
      <c r="F39" s="390"/>
      <c r="G39" s="390"/>
      <c r="H39" s="390"/>
      <c r="I39" s="390"/>
      <c r="J39" s="390"/>
    </row>
    <row r="40" spans="2:11" ht="14.4" thickBot="1" x14ac:dyDescent="0.3">
      <c r="B40" s="117"/>
      <c r="C40" s="113"/>
      <c r="D40" s="12"/>
      <c r="E40" s="128"/>
      <c r="F40" s="245"/>
      <c r="G40" s="245"/>
      <c r="H40" s="245"/>
      <c r="I40" s="245"/>
      <c r="J40" s="245"/>
    </row>
    <row r="41" spans="2:11" ht="19.5" customHeight="1" thickBot="1" x14ac:dyDescent="0.3">
      <c r="B41" s="175" t="s">
        <v>9</v>
      </c>
      <c r="C41" s="113"/>
      <c r="D41" s="403" t="s">
        <v>10</v>
      </c>
      <c r="E41" s="403"/>
      <c r="F41" s="403"/>
      <c r="G41" s="403"/>
      <c r="H41" s="403"/>
      <c r="I41" s="403"/>
      <c r="J41" s="403"/>
    </row>
    <row r="42" spans="2:11" x14ac:dyDescent="0.25">
      <c r="B42" s="113"/>
      <c r="C42" s="113"/>
      <c r="D42" s="12"/>
      <c r="E42" s="128"/>
      <c r="F42" s="129"/>
      <c r="G42" s="245"/>
      <c r="H42" s="245"/>
      <c r="I42" s="245"/>
      <c r="J42" s="245"/>
    </row>
    <row r="43" spans="2:11" ht="14.4" customHeight="1" x14ac:dyDescent="0.25">
      <c r="B43" s="404" t="s">
        <v>11</v>
      </c>
      <c r="C43" s="103"/>
      <c r="D43" s="402" t="s">
        <v>12</v>
      </c>
      <c r="E43" s="402"/>
      <c r="F43" s="402"/>
      <c r="G43" s="402"/>
      <c r="H43" s="402"/>
      <c r="I43" s="402"/>
      <c r="J43" s="402"/>
    </row>
    <row r="44" spans="2:11" ht="14.4" x14ac:dyDescent="0.25">
      <c r="B44" s="404"/>
      <c r="C44" s="103"/>
      <c r="D44" s="402"/>
      <c r="E44" s="402"/>
      <c r="F44" s="402"/>
      <c r="G44" s="402"/>
      <c r="H44" s="402"/>
      <c r="I44" s="402"/>
      <c r="J44" s="402"/>
    </row>
    <row r="45" spans="2:11" x14ac:dyDescent="0.25">
      <c r="D45" s="112"/>
      <c r="E45" s="112"/>
      <c r="F45" s="114"/>
      <c r="G45" s="114"/>
      <c r="H45" s="114"/>
      <c r="I45" s="114"/>
      <c r="J45" s="114"/>
    </row>
    <row r="46" spans="2:11" ht="58.2" customHeight="1" x14ac:dyDescent="0.25">
      <c r="B46" s="402" t="s">
        <v>632</v>
      </c>
      <c r="C46" s="402"/>
      <c r="D46" s="402"/>
      <c r="E46" s="402"/>
      <c r="F46" s="402"/>
      <c r="G46" s="402"/>
      <c r="H46" s="402"/>
      <c r="I46" s="402"/>
      <c r="J46" s="402"/>
      <c r="K46" s="107"/>
    </row>
    <row r="47" spans="2:11" x14ac:dyDescent="0.25">
      <c r="D47" s="114"/>
      <c r="E47" s="114"/>
      <c r="F47" s="114"/>
      <c r="G47" s="114"/>
      <c r="H47" s="114"/>
      <c r="I47" s="114"/>
      <c r="J47" s="114"/>
    </row>
    <row r="48" spans="2:11" x14ac:dyDescent="0.25">
      <c r="B48" s="16" t="s">
        <v>13</v>
      </c>
      <c r="C48" s="16"/>
      <c r="D48" s="16"/>
      <c r="E48" s="16"/>
      <c r="F48" s="16"/>
      <c r="G48" s="16"/>
      <c r="H48" s="16"/>
      <c r="I48" s="16"/>
      <c r="J48" s="16"/>
    </row>
    <row r="49" spans="1:10" x14ac:dyDescent="0.25">
      <c r="D49" s="112"/>
      <c r="E49" s="112"/>
      <c r="F49" s="112"/>
      <c r="G49" s="112"/>
      <c r="H49" s="112"/>
      <c r="I49" s="112"/>
      <c r="J49" s="112"/>
    </row>
    <row r="50" spans="1:10" ht="13.95" customHeight="1" x14ac:dyDescent="0.25">
      <c r="B50" s="402" t="s">
        <v>14</v>
      </c>
      <c r="C50" s="402"/>
      <c r="D50" s="402"/>
      <c r="E50" s="402"/>
      <c r="F50" s="402"/>
      <c r="G50" s="402"/>
      <c r="H50" s="402"/>
      <c r="I50" s="402"/>
      <c r="J50" s="402"/>
    </row>
    <row r="51" spans="1:10" x14ac:dyDescent="0.25">
      <c r="D51" s="114"/>
      <c r="E51" s="114"/>
      <c r="F51" s="114"/>
      <c r="G51" s="114"/>
      <c r="H51" s="114"/>
      <c r="I51" s="114"/>
      <c r="J51" s="114"/>
    </row>
    <row r="52" spans="1:10" x14ac:dyDescent="0.25">
      <c r="B52" s="16" t="s">
        <v>15</v>
      </c>
      <c r="C52" s="5"/>
      <c r="D52" s="17"/>
      <c r="E52" s="17"/>
      <c r="F52" s="17"/>
      <c r="G52" s="17"/>
      <c r="H52" s="17"/>
      <c r="I52" s="17"/>
      <c r="J52" s="17"/>
    </row>
    <row r="53" spans="1:10" x14ac:dyDescent="0.25">
      <c r="A53" s="18"/>
      <c r="B53" s="18"/>
    </row>
    <row r="54" spans="1:10" x14ac:dyDescent="0.25">
      <c r="A54" s="18"/>
      <c r="B54" s="18" t="s">
        <v>16</v>
      </c>
    </row>
    <row r="55" spans="1:10" x14ac:dyDescent="0.25">
      <c r="A55" s="18"/>
      <c r="B55" s="18" t="s">
        <v>17</v>
      </c>
    </row>
    <row r="56" spans="1:10" x14ac:dyDescent="0.25">
      <c r="A56" s="18"/>
      <c r="B56" s="18" t="s">
        <v>18</v>
      </c>
    </row>
    <row r="57" spans="1:10" x14ac:dyDescent="0.25">
      <c r="A57" s="18"/>
      <c r="B57" s="265" t="s">
        <v>19</v>
      </c>
    </row>
    <row r="58" spans="1:10" x14ac:dyDescent="0.25">
      <c r="A58" s="18"/>
      <c r="B58" s="18"/>
    </row>
    <row r="59" spans="1:10" x14ac:dyDescent="0.25">
      <c r="A59" s="18"/>
      <c r="B59" s="18"/>
    </row>
  </sheetData>
  <sheetProtection sheet="1" objects="1" scenarios="1"/>
  <mergeCells count="17">
    <mergeCell ref="D41:J41"/>
    <mergeCell ref="B43:B44"/>
    <mergeCell ref="D43:J44"/>
    <mergeCell ref="B46:J46"/>
    <mergeCell ref="B50:J50"/>
    <mergeCell ref="D38:J39"/>
    <mergeCell ref="B5:J5"/>
    <mergeCell ref="F9:J9"/>
    <mergeCell ref="F11:J13"/>
    <mergeCell ref="F15:J16"/>
    <mergeCell ref="F18:J18"/>
    <mergeCell ref="F20:J22"/>
    <mergeCell ref="F24:J25"/>
    <mergeCell ref="F27:J27"/>
    <mergeCell ref="F28:J30"/>
    <mergeCell ref="F31:J31"/>
    <mergeCell ref="D36:J36"/>
  </mergeCells>
  <hyperlinks>
    <hyperlink ref="F9:J9" location="Input_Beschaffung!A1" display="Geben Sie die übergeordneten Informationen zu Ihrem Beschaffungsfall ein. Hier können Informationen wie die erwartete jährliche Fahrleistung, die Art der Beschaffung (Kauf/Leasing) und weitere Informationen eingegeben werden." xr:uid="{00000000-0004-0000-0000-000000000000}"/>
    <hyperlink ref="F11:J13" location="Eingabe_Angebotswerte!A1" display="Fügen Sie die abgefragten Daten aus den Angeboten für alle Pkw ein. Die Datenabfrage wird der Ausschreibung beigefügt und umfasst u.a. den Preis, Verbrauchs- und Emissionsangaben und die Batteriegröße." xr:uid="{00000000-0004-0000-0000-000001000000}"/>
    <hyperlink ref="F15:J16" location="Grunddaten!A1" display="Das Tool prüft bei Eingabe, ob die für die Lebenszykluskosten-Berechnung benötigten Werte der angebotenen Fahrzeuge Ihrer Beschaffungsvorschrift entsprechen. Abweichungen werden durch eine rote Markierung im Tabellenblatt &quot;Eingabe_Angebotswerte&quot; gekennzei" xr:uid="{00000000-0004-0000-0000-000002000000}"/>
    <hyperlink ref="F18:J18" location="Grunddaten!A1" display="Informieren Sie sich über die zur Berechnung verwendeten Energie- und Umweltkosten und ändern Sie diese ggf. entsprechend aktueller Vorgaben." xr:uid="{00000000-0004-0000-0000-000003000000}"/>
    <hyperlink ref="F20:J22" location="Ergebnisse_LZK!A1" display="Vergleichen Sie die Lebenszykluskosten der verschiedenen Angebote im Tabellenformat und in einer Vergleichsgrafik. Das Ranking der Angebote wird hier direkt angezeigt. " xr:uid="{00000000-0004-0000-0000-000004000000}"/>
    <hyperlink ref="F24:J25" location="Ergebnisse_Umweltkosten!A1" display="Als Teilergebnis der Lebenszykluskosten werden hier ausschließlich die externen Umweltkosten dargestellt und entsprechend verglichen." xr:uid="{00000000-0004-0000-0000-000005000000}"/>
    <hyperlink ref="B32:H32" location="Quellen!A1" display="Im Tabellenblatt &quot;Quellen&quot; finden Sie Quellenangaben zu verwendeten Werten und Annahmen." xr:uid="{00000000-0004-0000-0000-000006000000}"/>
    <hyperlink ref="B57" r:id="rId1" display="Tel.: +49 (0) 30 284 45 78-23 | Bernhard.Bruch@ifeu.de " xr:uid="{00000000-0004-0000-0000-000007000000}"/>
  </hyperlinks>
  <pageMargins left="0.25" right="0.25" top="0.75" bottom="0.75" header="0.3" footer="0.3"/>
  <pageSetup paperSize="256" scale="83"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435</v>
      </c>
      <c r="E2" s="106" t="s">
        <v>20</v>
      </c>
      <c r="F2" s="125"/>
    </row>
    <row r="3" spans="1:6" x14ac:dyDescent="0.25">
      <c r="E3" s="125"/>
      <c r="F3" s="125"/>
    </row>
    <row r="4" spans="1:6" x14ac:dyDescent="0.25">
      <c r="B4" s="154" t="s">
        <v>138</v>
      </c>
      <c r="C4" s="3"/>
      <c r="D4" s="3"/>
      <c r="E4" s="125"/>
      <c r="F4" s="125"/>
    </row>
    <row r="5" spans="1:6" x14ac:dyDescent="0.25">
      <c r="E5" s="125"/>
      <c r="F5" s="125" t="str">
        <f>IF(Antriebsart4="Vollelektrisch (BEV)","Strom","nicht verfügbar")</f>
        <v>Strom</v>
      </c>
    </row>
    <row r="6" spans="1:6" x14ac:dyDescent="0.25">
      <c r="B6" s="2" t="s">
        <v>43</v>
      </c>
      <c r="C6" s="54">
        <v>4</v>
      </c>
      <c r="E6" s="125"/>
      <c r="F6" s="125" t="str">
        <f>IF(OR(Antriebsart4="Verbrenner",Antriebsart4="Plug-In-Hybrid (PHEV)"),"Diesel","nicht verfügbar")</f>
        <v>nicht verfügbar</v>
      </c>
    </row>
    <row r="7" spans="1:6" x14ac:dyDescent="0.25">
      <c r="B7" s="1" t="s">
        <v>52</v>
      </c>
      <c r="C7" s="102" t="str">
        <f>IF(Anbieter4=0,"",Anbieter4)</f>
        <v>D</v>
      </c>
      <c r="E7" s="125"/>
      <c r="F7" s="125" t="str">
        <f>IF(OR(Antriebsart4="Verbrenner",Antriebsart4="Plug-In-Hybrid (PHEV)"),"Benzin","nicht verfügbar")</f>
        <v>nicht verfügbar</v>
      </c>
    </row>
    <row r="8" spans="1:6" x14ac:dyDescent="0.25">
      <c r="C8" s="102"/>
      <c r="E8" s="125"/>
      <c r="F8" s="125" t="str">
        <f>IF(Antriebsart4="Verbrenner","Erdgas (CNG)","nicht verfügbar")</f>
        <v>nicht verfügbar</v>
      </c>
    </row>
    <row r="9" spans="1:6" x14ac:dyDescent="0.25">
      <c r="B9" s="2" t="s">
        <v>139</v>
      </c>
      <c r="C9" s="102"/>
      <c r="E9" s="125"/>
      <c r="F9" s="125"/>
    </row>
    <row r="10" spans="1:6" x14ac:dyDescent="0.25">
      <c r="B10" s="1" t="s">
        <v>140</v>
      </c>
      <c r="C10" s="102" t="str">
        <f>IF(Hersteller4=0,"",Hersteller4)</f>
        <v>Fiat</v>
      </c>
      <c r="D10" s="55"/>
      <c r="E10" s="125"/>
      <c r="F10" s="125"/>
    </row>
    <row r="11" spans="1:6" x14ac:dyDescent="0.25">
      <c r="B11" s="1" t="s">
        <v>60</v>
      </c>
      <c r="C11" s="102" t="str">
        <f>IF(Modell4=0,"",Modell4)</f>
        <v>E-Scudo</v>
      </c>
      <c r="D11" s="55"/>
      <c r="E11" s="125"/>
      <c r="F11" s="125"/>
    </row>
    <row r="12" spans="1:6" ht="43.95" customHeight="1" x14ac:dyDescent="0.25">
      <c r="B12" s="56" t="s">
        <v>141</v>
      </c>
      <c r="C12" s="102" t="str">
        <f>IF(Zusatzinfo4=0,"",Zusatzinfo4)</f>
        <v>Kastenwagen L2 (50 kWh)</v>
      </c>
      <c r="D12" s="55"/>
      <c r="E12" s="125"/>
      <c r="F12" s="125"/>
    </row>
    <row r="13" spans="1:6" x14ac:dyDescent="0.25">
      <c r="B13" s="57" t="s">
        <v>44</v>
      </c>
      <c r="C13" s="102" t="str">
        <f>IF(Antriebsart4=0,"",Antriebsart4)</f>
        <v>Vollelektrisch (BEV)</v>
      </c>
      <c r="E13" s="125"/>
      <c r="F13" s="125"/>
    </row>
    <row r="14" spans="1:6" x14ac:dyDescent="0.25">
      <c r="B14" s="2" t="s">
        <v>48</v>
      </c>
      <c r="C14" s="102" t="str">
        <f>IF(Energie4=0,"",Energie4)</f>
        <v>Strom</v>
      </c>
      <c r="D14" s="88"/>
      <c r="E14" s="125"/>
      <c r="F14" s="125"/>
    </row>
    <row r="15" spans="1:6" s="125" customFormat="1" ht="14.4" x14ac:dyDescent="0.25">
      <c r="A15" s="126"/>
      <c r="C15" s="127"/>
    </row>
    <row r="16" spans="1:6" x14ac:dyDescent="0.25">
      <c r="B16" s="154" t="s">
        <v>142</v>
      </c>
      <c r="C16" s="3"/>
      <c r="D16" s="3"/>
      <c r="E16" s="125"/>
      <c r="F16" s="125"/>
    </row>
    <row r="17" spans="1:6" x14ac:dyDescent="0.25">
      <c r="B17" s="66"/>
      <c r="C17" s="66"/>
      <c r="D17" s="66"/>
      <c r="E17" s="125"/>
      <c r="F17" s="125"/>
    </row>
    <row r="18" spans="1:6" x14ac:dyDescent="0.25">
      <c r="B18" s="72" t="s">
        <v>143</v>
      </c>
      <c r="C18" s="288">
        <f>0.0057*(ReichwPHEV4/23)^3-0.0838*(ReichwPHEV4/23)^2+0.4261*(ReichwPHEV4/23)+ 0.1633</f>
        <v>0.1633</v>
      </c>
      <c r="D18" s="184"/>
      <c r="E18" s="125"/>
      <c r="F18" s="125"/>
    </row>
    <row r="19" spans="1:6" x14ac:dyDescent="0.25">
      <c r="B19" s="1" t="s">
        <v>144</v>
      </c>
      <c r="C19" s="289">
        <f>Verbrauch4/(1-0.9*C18)</f>
        <v>0</v>
      </c>
      <c r="D19" s="7" t="s">
        <v>69</v>
      </c>
      <c r="E19" s="125"/>
      <c r="F19" s="125"/>
    </row>
    <row r="20" spans="1:6" x14ac:dyDescent="0.25">
      <c r="B20" s="72" t="s">
        <v>145</v>
      </c>
      <c r="C20" s="290">
        <f>VerbEl_WLTP4/C18</f>
        <v>152.48009797917942</v>
      </c>
      <c r="D20" s="184" t="s">
        <v>70</v>
      </c>
      <c r="E20" s="125"/>
      <c r="F20" s="125"/>
    </row>
    <row r="21" spans="1:6" x14ac:dyDescent="0.25">
      <c r="B21" s="186" t="s">
        <v>146</v>
      </c>
      <c r="C21" s="291">
        <f>0.0021*(ReichwPHEV4/23)^3-0.0358*(ReichwPHEV4/23)^2+0.2607*(ReichwPHEV4/23)- 0.0267</f>
        <v>-2.6700000000000002E-2</v>
      </c>
      <c r="D21" s="187"/>
      <c r="E21" s="125"/>
      <c r="F21" s="125"/>
    </row>
    <row r="22" spans="1:6" ht="14.4" customHeight="1" x14ac:dyDescent="0.25">
      <c r="A22" s="471" t="s">
        <v>11</v>
      </c>
      <c r="B22" s="470" t="s">
        <v>147</v>
      </c>
      <c r="C22" s="292">
        <f>C19*(1-0.9*C21)</f>
        <v>0</v>
      </c>
      <c r="D22" s="185" t="s">
        <v>69</v>
      </c>
      <c r="E22" s="125"/>
      <c r="F22" s="125"/>
    </row>
    <row r="23" spans="1:6" x14ac:dyDescent="0.25">
      <c r="A23" s="471"/>
      <c r="B23" s="430"/>
      <c r="C23" s="292">
        <f>C20*C21</f>
        <v>-4.0712186160440904</v>
      </c>
      <c r="D23" s="183" t="s">
        <v>70</v>
      </c>
      <c r="E23" s="125"/>
      <c r="F23" s="125"/>
    </row>
    <row r="24" spans="1:6" s="125" customFormat="1" ht="14.4" x14ac:dyDescent="0.25">
      <c r="A24" s="126"/>
      <c r="C24" s="181"/>
      <c r="D24" s="7"/>
    </row>
    <row r="25" spans="1:6" x14ac:dyDescent="0.25">
      <c r="B25" s="154" t="s">
        <v>148</v>
      </c>
      <c r="C25" s="3"/>
      <c r="D25" s="3"/>
      <c r="E25" s="125"/>
      <c r="F25" s="125"/>
    </row>
    <row r="26" spans="1:6" x14ac:dyDescent="0.25">
      <c r="E26" s="125"/>
      <c r="F26" s="125"/>
    </row>
    <row r="27" spans="1:6" x14ac:dyDescent="0.25">
      <c r="B27" s="60" t="s">
        <v>87</v>
      </c>
      <c r="C27" s="61"/>
      <c r="D27" s="60"/>
      <c r="E27" s="125"/>
      <c r="F27" s="125"/>
    </row>
    <row r="28" spans="1:6" x14ac:dyDescent="0.25">
      <c r="B28" s="1" t="s">
        <v>149</v>
      </c>
      <c r="C28" s="279">
        <f>IF(Antriebsart4="Vollelektrisch (BEV)",0,IFERROR(VLOOKUP(Energie4,EnKostList,8,FALSE),0)*IF(Antriebsart4="Plug-In-Hybrid (PHEV)",VerbPHEV4,Verbrauch4)/100*Fahrleistung)</f>
        <v>0</v>
      </c>
      <c r="D28" s="2" t="s">
        <v>150</v>
      </c>
      <c r="E28" s="125"/>
      <c r="F28" s="125"/>
    </row>
    <row r="29" spans="1:6" x14ac:dyDescent="0.25">
      <c r="B29" s="1" t="s">
        <v>49</v>
      </c>
      <c r="C29" s="279">
        <f>IF(Antriebsart4="Verbrenner",0,VLOOKUP("Strom",EnKostList,8,FALSE)*IF(Antriebsart4="Plug-In-Hybrid (PHEV)",VerbElPHEV4,VerbEl_WLTP4)/100*Fahrleistung)</f>
        <v>3124.95</v>
      </c>
      <c r="D29" s="2" t="s">
        <v>150</v>
      </c>
      <c r="E29" s="125"/>
      <c r="F29" s="125"/>
    </row>
    <row r="30" spans="1:6" ht="14.4" thickBot="1" x14ac:dyDescent="0.3">
      <c r="B30" s="64" t="s">
        <v>91</v>
      </c>
      <c r="C30" s="280">
        <f>SUM(C28:C29)</f>
        <v>3124.95</v>
      </c>
      <c r="D30" s="64" t="s">
        <v>150</v>
      </c>
      <c r="E30" s="125"/>
      <c r="F30" s="125"/>
    </row>
    <row r="31" spans="1:6" ht="14.4" thickTop="1" x14ac:dyDescent="0.25">
      <c r="C31" s="10"/>
      <c r="D31" s="2"/>
      <c r="E31" s="125"/>
      <c r="F31" s="125"/>
    </row>
    <row r="32" spans="1:6" x14ac:dyDescent="0.25">
      <c r="B32" s="60" t="s">
        <v>151</v>
      </c>
      <c r="C32" s="145" t="str">
        <f>CONCATENATE("Energieträger: ",Energie4)</f>
        <v>Energieträger: Strom</v>
      </c>
      <c r="D32" s="60"/>
      <c r="E32" s="125"/>
      <c r="F32" s="125"/>
    </row>
    <row r="33" spans="1:6" ht="16.2" x14ac:dyDescent="0.35">
      <c r="B33" s="1" t="s">
        <v>152</v>
      </c>
      <c r="C33" s="279">
        <f>IF(Antriebsart4="Plug-In-Hybrid (PHEV)",VerbPHEV4*VLOOKUP(Energie4,CO2List,2,FALSE)/100,CO2_4)*Fahrleistung/1000000</f>
        <v>0</v>
      </c>
      <c r="D33" s="2" t="s">
        <v>153</v>
      </c>
      <c r="E33" s="125"/>
      <c r="F33" s="125"/>
    </row>
    <row r="34" spans="1:6" x14ac:dyDescent="0.25">
      <c r="B34" s="1" t="s">
        <v>129</v>
      </c>
      <c r="C34" s="279">
        <f>C33*Kost_THG</f>
        <v>0</v>
      </c>
      <c r="D34" s="2" t="s">
        <v>150</v>
      </c>
      <c r="E34" s="125"/>
      <c r="F34" s="125"/>
    </row>
    <row r="35" spans="1:6" x14ac:dyDescent="0.25">
      <c r="B35" s="7" t="s">
        <v>154</v>
      </c>
      <c r="C35" s="287">
        <f>IF(Energie4="Strom",0,NOX_4*Fahrleistung*Kost_NOX/1000)</f>
        <v>0</v>
      </c>
      <c r="D35" s="65" t="s">
        <v>150</v>
      </c>
      <c r="E35" s="125"/>
      <c r="F35" s="125"/>
    </row>
    <row r="36" spans="1:6" x14ac:dyDescent="0.25">
      <c r="B36" s="7" t="s">
        <v>75</v>
      </c>
      <c r="C36" s="287">
        <f>IF(Energie4="Strom",0,Partikel4*Fahrleistung*Kost_Partikel/1000)</f>
        <v>0</v>
      </c>
      <c r="D36" s="65" t="s">
        <v>150</v>
      </c>
      <c r="E36" s="125"/>
      <c r="F36" s="125"/>
    </row>
    <row r="37" spans="1:6" ht="14.4" thickBot="1" x14ac:dyDescent="0.3">
      <c r="B37" s="64" t="s">
        <v>91</v>
      </c>
      <c r="C37" s="280">
        <f>SUM(C34:C36)</f>
        <v>0</v>
      </c>
      <c r="D37" s="64" t="s">
        <v>150</v>
      </c>
      <c r="E37" s="125"/>
      <c r="F37" s="125"/>
    </row>
    <row r="38" spans="1:6" ht="14.4" thickTop="1" x14ac:dyDescent="0.25">
      <c r="B38" s="14"/>
      <c r="D38" s="2"/>
      <c r="E38" s="125"/>
      <c r="F38" s="125"/>
    </row>
    <row r="39" spans="1:6" x14ac:dyDescent="0.25">
      <c r="B39" s="60" t="s">
        <v>155</v>
      </c>
      <c r="C39" s="145" t="str">
        <f>CONCATENATE("Energieträger: ",Energie4,IF(Antriebsart4="Plug-In-Hybrid (PHEV)","+Strom",""))</f>
        <v>Energieträger: Strom</v>
      </c>
      <c r="D39" s="60"/>
      <c r="E39" s="125"/>
      <c r="F39" s="125"/>
    </row>
    <row r="40" spans="1:6" ht="16.2" x14ac:dyDescent="0.35">
      <c r="B40" s="1" t="s">
        <v>152</v>
      </c>
      <c r="C40" s="279">
        <f>IFERROR(IF(Antriebsart4="Vollelektrisch (BEV)",VLOOKUP("Strom",CO2List,3,FALSE)*VerbEl_WLTP4/100*Fahrleistung/1000000,IF(Antriebsart4="Verbrenner",VLOOKUP(Energie4,CO2List,3,FALSE)*Verbrauch4/100*Fahrleistung/1000000,VLOOKUP(Energie4,CO2List,3,FALSE)*VerbPHEV4/100*Fahrleistung/1000000+VLOOKUP("Strom",CO2List,3,FALSE)*VerbElPHEV4/100*Fahrleistung/1000000)),0)</f>
        <v>1.8114749999999993</v>
      </c>
      <c r="D40" s="2" t="s">
        <v>153</v>
      </c>
      <c r="E40" s="125"/>
      <c r="F40" s="125"/>
    </row>
    <row r="41" spans="1:6" x14ac:dyDescent="0.25">
      <c r="B41" s="1" t="s">
        <v>156</v>
      </c>
      <c r="C41" s="279">
        <f>C40*Kost_THG</f>
        <v>1557.8684999999994</v>
      </c>
      <c r="D41" s="2" t="s">
        <v>150</v>
      </c>
      <c r="E41" s="125"/>
      <c r="F41" s="125"/>
    </row>
    <row r="42" spans="1:6" x14ac:dyDescent="0.25">
      <c r="E42" s="125"/>
      <c r="F42" s="125"/>
    </row>
    <row r="43" spans="1:6" x14ac:dyDescent="0.25">
      <c r="B43" s="154" t="s">
        <v>157</v>
      </c>
      <c r="C43" s="3"/>
      <c r="D43" s="3"/>
      <c r="E43" s="125"/>
      <c r="F43" s="125"/>
    </row>
    <row r="44" spans="1:6" x14ac:dyDescent="0.25">
      <c r="B44" s="66"/>
      <c r="C44" s="66"/>
      <c r="D44" s="66"/>
      <c r="E44" s="125"/>
      <c r="F44" s="125"/>
    </row>
    <row r="45" spans="1:6" s="67" customFormat="1" x14ac:dyDescent="0.25">
      <c r="A45" s="107"/>
      <c r="B45" s="90" t="s">
        <v>158</v>
      </c>
      <c r="C45" s="134" t="s">
        <v>159</v>
      </c>
      <c r="D45" s="62"/>
      <c r="E45" s="125"/>
      <c r="F45" s="125"/>
    </row>
    <row r="46" spans="1:6" s="67" customFormat="1" ht="16.2" x14ac:dyDescent="0.25">
      <c r="A46" s="404" t="s">
        <v>11</v>
      </c>
      <c r="B46" s="468" t="s">
        <v>152</v>
      </c>
      <c r="C46" s="281">
        <f>IF(OR(Antriebsart4="Vollelektrisch (BEV)",Antriebsart4="Plug-In-Hybrid (PHEV)"),Batterie4*Batterie_THG/1000,0)</f>
        <v>4.2</v>
      </c>
      <c r="D46" s="131" t="s">
        <v>160</v>
      </c>
      <c r="E46" s="127"/>
      <c r="F46" s="125"/>
    </row>
    <row r="47" spans="1:6" s="67" customFormat="1" ht="16.2" x14ac:dyDescent="0.25">
      <c r="A47" s="404"/>
      <c r="B47" s="469"/>
      <c r="C47" s="281">
        <f>IF((Fahrleistung*16)&lt;220000,C46*10^6/(Fahrleistung*16),C46*10^6/220000)</f>
        <v>19.09090909090909</v>
      </c>
      <c r="D47" s="130" t="s">
        <v>161</v>
      </c>
      <c r="E47" s="127"/>
      <c r="F47" s="125"/>
    </row>
    <row r="48" spans="1:6" x14ac:dyDescent="0.25">
      <c r="B48" s="1" t="s">
        <v>162</v>
      </c>
      <c r="C48" s="279">
        <f>IF(C47*Fahrleistung/10^6*Haltedauer&lt;C46, C47*Fahrleistung/10^6*Kost_THG, C46/Haltedauer*Kost_THG)</f>
        <v>410.45454545454544</v>
      </c>
      <c r="D48" s="2" t="s">
        <v>150</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163</v>
      </c>
    </row>
    <row r="54" spans="1:6" s="70" customFormat="1" ht="14.4" x14ac:dyDescent="0.3">
      <c r="A54" s="1"/>
      <c r="B54" s="68" t="s">
        <v>164</v>
      </c>
      <c r="C54" s="282">
        <f>IF(FinArt="Kauf",IF(KaufpreisRech="Kaufpreis",Gesamtpreis4,0),Gesamtpreis4*Haltedauer*12+IF(FinArt="Leasing",LeasSondZahl4,0))</f>
        <v>0</v>
      </c>
      <c r="D54" s="68" t="s">
        <v>65</v>
      </c>
      <c r="E54" s="69"/>
      <c r="F54" s="58"/>
    </row>
    <row r="55" spans="1:6" s="71" customFormat="1" ht="14.4" x14ac:dyDescent="0.25">
      <c r="A55" s="305" t="s">
        <v>11</v>
      </c>
      <c r="B55" s="1" t="s">
        <v>439</v>
      </c>
      <c r="C55" s="283">
        <f>IF(AND(KaufpreisRech="Wertminderung",FinArt="Kauf"),Gesamtpreis4-Gesamtpreis4*(-0.2*LN(Haltedauer)+0.667),0)</f>
        <v>33044.160956034983</v>
      </c>
      <c r="D55" s="1" t="s">
        <v>65</v>
      </c>
      <c r="E55" s="125"/>
      <c r="F55" s="73"/>
    </row>
    <row r="56" spans="1:6" x14ac:dyDescent="0.25">
      <c r="B56" s="1" t="s">
        <v>87</v>
      </c>
      <c r="C56" s="283">
        <f>C30*Haltedauer</f>
        <v>21874.649999999998</v>
      </c>
      <c r="D56" s="1" t="s">
        <v>65</v>
      </c>
      <c r="F56" s="73"/>
    </row>
    <row r="57" spans="1:6" x14ac:dyDescent="0.25">
      <c r="B57" s="1" t="s">
        <v>165</v>
      </c>
      <c r="C57" s="283">
        <f>C37*Haltedauer</f>
        <v>0</v>
      </c>
      <c r="D57" s="1" t="s">
        <v>65</v>
      </c>
      <c r="F57" s="58"/>
    </row>
    <row r="58" spans="1:6" x14ac:dyDescent="0.25">
      <c r="B58" s="1" t="s">
        <v>156</v>
      </c>
      <c r="C58" s="283">
        <f>C41*Haltedauer</f>
        <v>10905.079499999996</v>
      </c>
      <c r="D58" s="1" t="s">
        <v>65</v>
      </c>
      <c r="F58" s="58"/>
    </row>
    <row r="59" spans="1:6" x14ac:dyDescent="0.25">
      <c r="B59" s="333" t="s">
        <v>90</v>
      </c>
      <c r="C59" s="334">
        <f>C48*Haltedauer</f>
        <v>2873.181818181818</v>
      </c>
      <c r="D59" s="80" t="s">
        <v>65</v>
      </c>
      <c r="F59" s="147"/>
    </row>
    <row r="60" spans="1:6" x14ac:dyDescent="0.25">
      <c r="A60" s="404" t="s">
        <v>11</v>
      </c>
      <c r="B60" s="327" t="str">
        <f>IF(ISBLANK(Zusatzangabe_x), "", Zusatzangabe_x)</f>
        <v>Kfz-Steuer</v>
      </c>
      <c r="C60" s="328">
        <f>IF(ISBLANK(Zusatzangabe_x), "", Zusatzangabe_x4*Haltedauer)</f>
        <v>0</v>
      </c>
      <c r="D60" s="327" t="str">
        <f>IF(ISBLANK(Zusatzangabe_x), "", "EUR")</f>
        <v>EUR</v>
      </c>
      <c r="F60" s="147"/>
    </row>
    <row r="61" spans="1:6" x14ac:dyDescent="0.25">
      <c r="A61" s="404"/>
      <c r="B61" s="327" t="str">
        <f>IF(ISBLANK(Zusatzangabe_y), "", Zusatzangabe_y)</f>
        <v/>
      </c>
      <c r="C61" s="328" t="str">
        <f>IF(ISBLANK(Zusatzangabe_y), "", Zusatzangabe_y4*Haltedauer)</f>
        <v/>
      </c>
      <c r="D61" s="327" t="str">
        <f>IF(ISBLANK(Zusatzangabe_y), "", "EUR")</f>
        <v/>
      </c>
      <c r="F61" s="147"/>
    </row>
    <row r="62" spans="1:6" x14ac:dyDescent="0.25">
      <c r="A62" s="404"/>
      <c r="B62" s="327" t="str">
        <f>IF(ISBLANK(Zusatzangabe_z), "", Zusatzangabe_z)</f>
        <v/>
      </c>
      <c r="C62" s="328" t="str">
        <f>IF(ISBLANK(Zusatzangabe_z), "", Zusatzangabe_z4*Haltedauer)</f>
        <v/>
      </c>
      <c r="D62" s="327" t="str">
        <f>IF(ISBLANK(Zusatzangabe_z), "", "EUR")</f>
        <v/>
      </c>
      <c r="F62" s="147"/>
    </row>
    <row r="63" spans="1:6" ht="14.4" thickBot="1" x14ac:dyDescent="0.3">
      <c r="B63" s="64" t="s">
        <v>91</v>
      </c>
      <c r="C63" s="284">
        <f>SUM(C54:C62)</f>
        <v>68697.0722742168</v>
      </c>
      <c r="D63" s="64" t="s">
        <v>65</v>
      </c>
      <c r="E63" s="14"/>
      <c r="F63" s="58"/>
    </row>
    <row r="64" spans="1:6" s="59" customFormat="1" ht="14.4" thickTop="1" x14ac:dyDescent="0.25">
      <c r="A64" s="1"/>
      <c r="B64" s="1"/>
      <c r="C64" s="10"/>
      <c r="D64" s="1"/>
      <c r="E64" s="14"/>
      <c r="F64" s="1"/>
    </row>
    <row r="65" spans="2:5" ht="16.2" x14ac:dyDescent="0.35">
      <c r="B65" s="68" t="s">
        <v>166</v>
      </c>
      <c r="C65" s="285">
        <f>IF(C47*Fahrleistung/10^6*Haltedauer&lt;C46, C47*Fahrleistung/10^6*Haltedauer, C46)</f>
        <v>3.3409090909090908</v>
      </c>
      <c r="D65" s="68" t="s">
        <v>167</v>
      </c>
    </row>
    <row r="66" spans="2:5" ht="16.2" x14ac:dyDescent="0.35">
      <c r="B66" s="72" t="s">
        <v>96</v>
      </c>
      <c r="C66" s="286">
        <f>C33*Haltedauer+C40*Haltedauer</f>
        <v>12.680324999999995</v>
      </c>
      <c r="D66" s="72" t="s">
        <v>167</v>
      </c>
      <c r="E66" s="71"/>
    </row>
  </sheetData>
  <sheetProtection sheet="1" objects="1" scenarios="1"/>
  <mergeCells count="5">
    <mergeCell ref="A46:A47"/>
    <mergeCell ref="B46:B47"/>
    <mergeCell ref="B22:B23"/>
    <mergeCell ref="A22:A23"/>
    <mergeCell ref="A60:A62"/>
  </mergeCells>
  <conditionalFormatting sqref="A16:D23">
    <cfRule type="expression" dxfId="1" priority="2">
      <formula>Antriebsart4&lt;&gt;"Plug-In-Hybrid (PHEV)"</formula>
    </cfRule>
  </conditionalFormatting>
  <hyperlinks>
    <hyperlink ref="E2" location="Anleitung!A1" display="zurück zu &quot;Anleitung&quot;" xr:uid="{00000000-0004-0000-0900-000000000000}"/>
  </hyperlinks>
  <pageMargins left="0.25" right="0.25" top="0.75" bottom="0.75" header="0.3" footer="0.3"/>
  <pageSetup paperSize="9" scale="91"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2:6" x14ac:dyDescent="0.25">
      <c r="E1" s="125"/>
      <c r="F1" s="125"/>
    </row>
    <row r="2" spans="2:6" x14ac:dyDescent="0.25">
      <c r="B2" s="2" t="s">
        <v>434</v>
      </c>
      <c r="E2" s="106" t="s">
        <v>20</v>
      </c>
      <c r="F2" s="125"/>
    </row>
    <row r="3" spans="2:6" x14ac:dyDescent="0.25">
      <c r="E3" s="125"/>
      <c r="F3" s="125"/>
    </row>
    <row r="4" spans="2:6" x14ac:dyDescent="0.25">
      <c r="B4" s="154" t="s">
        <v>138</v>
      </c>
      <c r="C4" s="3"/>
      <c r="D4" s="3"/>
      <c r="E4" s="125"/>
      <c r="F4" s="125"/>
    </row>
    <row r="5" spans="2:6" x14ac:dyDescent="0.25">
      <c r="E5" s="125"/>
      <c r="F5" s="125" t="str">
        <f>IF(Antriebsart5="Vollelektrisch (BEV)","Strom","nicht verfügbar")</f>
        <v>Strom</v>
      </c>
    </row>
    <row r="6" spans="2:6" x14ac:dyDescent="0.25">
      <c r="B6" s="2" t="s">
        <v>43</v>
      </c>
      <c r="C6" s="54">
        <v>5</v>
      </c>
      <c r="E6" s="125"/>
      <c r="F6" s="125" t="str">
        <f>IF(OR(Antriebsart5="Verbrenner",Antriebsart5="Plug-In-Hybrid (PHEV)"),"Diesel","nicht verfügbar")</f>
        <v>nicht verfügbar</v>
      </c>
    </row>
    <row r="7" spans="2:6" x14ac:dyDescent="0.25">
      <c r="B7" s="1" t="s">
        <v>52</v>
      </c>
      <c r="C7" s="102" t="str">
        <f>IF(Anbieter5=0,"",Anbieter5)</f>
        <v>E</v>
      </c>
      <c r="E7" s="125"/>
      <c r="F7" s="125" t="str">
        <f>IF(OR(Antriebsart5="Verbrenner",Antriebsart5="Plug-In-Hybrid (PHEV)"),"Benzin","nicht verfügbar")</f>
        <v>nicht verfügbar</v>
      </c>
    </row>
    <row r="8" spans="2:6" x14ac:dyDescent="0.25">
      <c r="C8" s="102"/>
      <c r="E8" s="125"/>
      <c r="F8" s="125" t="str">
        <f>IF(Antriebsart5="Verbrenner","Erdgas (CNG)","nicht verfügbar")</f>
        <v>nicht verfügbar</v>
      </c>
    </row>
    <row r="9" spans="2:6" x14ac:dyDescent="0.25">
      <c r="B9" s="2" t="s">
        <v>139</v>
      </c>
      <c r="C9" s="102"/>
      <c r="E9" s="125"/>
      <c r="F9" s="125"/>
    </row>
    <row r="10" spans="2:6" x14ac:dyDescent="0.25">
      <c r="B10" s="1" t="s">
        <v>140</v>
      </c>
      <c r="C10" s="102" t="str">
        <f>IF(Hersteller5=0,"",Hersteller5)</f>
        <v>Opel</v>
      </c>
      <c r="D10" s="55"/>
      <c r="E10" s="125"/>
      <c r="F10" s="125"/>
    </row>
    <row r="11" spans="2:6" x14ac:dyDescent="0.25">
      <c r="B11" s="1" t="s">
        <v>60</v>
      </c>
      <c r="C11" s="102" t="str">
        <f>IF(Modell5=0,"",Modell5)</f>
        <v>Combo Electric</v>
      </c>
      <c r="D11" s="55"/>
      <c r="E11" s="125"/>
      <c r="F11" s="125"/>
    </row>
    <row r="12" spans="2:6" ht="43.95" customHeight="1" x14ac:dyDescent="0.25">
      <c r="B12" s="56" t="s">
        <v>141</v>
      </c>
      <c r="C12" s="102" t="str">
        <f>IF(Zusatzinfo5=0,"",Zusatzinfo5)</f>
        <v>Cargo L1H1 Heavy</v>
      </c>
      <c r="D12" s="55"/>
      <c r="E12" s="125"/>
      <c r="F12" s="125"/>
    </row>
    <row r="13" spans="2:6" x14ac:dyDescent="0.25">
      <c r="B13" s="57" t="s">
        <v>44</v>
      </c>
      <c r="C13" s="102" t="str">
        <f>IF(Antriebsart5=0,"",Antriebsart5)</f>
        <v>Vollelektrisch (BEV)</v>
      </c>
      <c r="E13" s="125"/>
      <c r="F13" s="125"/>
    </row>
    <row r="14" spans="2:6" x14ac:dyDescent="0.25">
      <c r="B14" s="2" t="s">
        <v>48</v>
      </c>
      <c r="C14" s="102" t="str">
        <f>IF(Energie5=0,"",Energie5)</f>
        <v>Strom</v>
      </c>
      <c r="D14" s="88"/>
      <c r="E14" s="125"/>
      <c r="F14" s="125"/>
    </row>
    <row r="15" spans="2:6" x14ac:dyDescent="0.25">
      <c r="B15" s="2"/>
      <c r="D15" s="2"/>
      <c r="E15" s="125"/>
      <c r="F15" s="125"/>
    </row>
    <row r="16" spans="2:6" ht="13.95" customHeight="1" x14ac:dyDescent="0.25">
      <c r="B16" s="154" t="s">
        <v>142</v>
      </c>
      <c r="C16" s="3"/>
      <c r="D16" s="3"/>
      <c r="E16" s="125"/>
      <c r="F16" s="125"/>
    </row>
    <row r="17" spans="1:6" ht="13.95" customHeight="1" x14ac:dyDescent="0.25">
      <c r="A17" s="188"/>
      <c r="B17" s="66"/>
      <c r="C17" s="66"/>
      <c r="D17" s="66"/>
      <c r="E17" s="125"/>
      <c r="F17" s="125"/>
    </row>
    <row r="18" spans="1:6" x14ac:dyDescent="0.25">
      <c r="B18" s="72" t="s">
        <v>143</v>
      </c>
      <c r="C18" s="288">
        <f>0.0057*(ReichwPHEV5/23)^3-0.0838*(ReichwPHEV5/23)^2+0.4261*(ReichwPHEV5/23)+ 0.1633</f>
        <v>0.1633</v>
      </c>
      <c r="D18" s="184"/>
      <c r="E18" s="125"/>
      <c r="F18" s="125"/>
    </row>
    <row r="19" spans="1:6" x14ac:dyDescent="0.25">
      <c r="B19" s="1" t="s">
        <v>144</v>
      </c>
      <c r="C19" s="289">
        <f>Verbrauch5/(1-0.9*C18)</f>
        <v>0</v>
      </c>
      <c r="D19" s="7" t="s">
        <v>69</v>
      </c>
      <c r="E19" s="125"/>
      <c r="F19" s="125"/>
    </row>
    <row r="20" spans="1:6" x14ac:dyDescent="0.25">
      <c r="B20" s="72" t="s">
        <v>145</v>
      </c>
      <c r="C20" s="290">
        <f>VerbEl_WLTP5/C18</f>
        <v>113.90079608083283</v>
      </c>
      <c r="D20" s="184" t="s">
        <v>70</v>
      </c>
      <c r="E20" s="125"/>
      <c r="F20" s="125"/>
    </row>
    <row r="21" spans="1:6" x14ac:dyDescent="0.25">
      <c r="B21" s="186" t="s">
        <v>146</v>
      </c>
      <c r="C21" s="291">
        <f>0.0021*(ReichwPHEV5/23)^3-0.0358*(ReichwPHEV5/23)^2+0.2607*(ReichwPHEV5/23)- 0.0267</f>
        <v>-2.6700000000000002E-2</v>
      </c>
      <c r="D21" s="187"/>
      <c r="E21" s="125"/>
      <c r="F21" s="125"/>
    </row>
    <row r="22" spans="1:6" ht="14.4" customHeight="1" x14ac:dyDescent="0.25">
      <c r="A22" s="471" t="s">
        <v>11</v>
      </c>
      <c r="B22" s="470" t="s">
        <v>147</v>
      </c>
      <c r="C22" s="292">
        <f>C19*(1-0.9*C21)</f>
        <v>0</v>
      </c>
      <c r="D22" s="185" t="s">
        <v>69</v>
      </c>
      <c r="E22" s="125"/>
      <c r="F22" s="125"/>
    </row>
    <row r="23" spans="1:6" x14ac:dyDescent="0.25">
      <c r="A23" s="471"/>
      <c r="B23" s="430"/>
      <c r="C23" s="292">
        <f>C20*C21</f>
        <v>-3.0411512553582369</v>
      </c>
      <c r="D23" s="183" t="s">
        <v>70</v>
      </c>
      <c r="E23" s="125"/>
      <c r="F23" s="125"/>
    </row>
    <row r="24" spans="1:6" s="125" customFormat="1" ht="14.4" x14ac:dyDescent="0.25">
      <c r="A24" s="126"/>
      <c r="C24" s="181"/>
      <c r="D24" s="7"/>
    </row>
    <row r="25" spans="1:6" x14ac:dyDescent="0.25">
      <c r="B25" s="154" t="s">
        <v>148</v>
      </c>
      <c r="C25" s="3"/>
      <c r="D25" s="3"/>
      <c r="E25" s="125"/>
      <c r="F25" s="125"/>
    </row>
    <row r="26" spans="1:6" x14ac:dyDescent="0.25">
      <c r="E26" s="125"/>
      <c r="F26" s="125"/>
    </row>
    <row r="27" spans="1:6" x14ac:dyDescent="0.25">
      <c r="B27" s="60" t="s">
        <v>87</v>
      </c>
      <c r="C27" s="61"/>
      <c r="D27" s="60"/>
      <c r="E27" s="125"/>
      <c r="F27" s="125"/>
    </row>
    <row r="28" spans="1:6" x14ac:dyDescent="0.25">
      <c r="B28" s="1" t="s">
        <v>149</v>
      </c>
      <c r="C28" s="279">
        <f>IF(Antriebsart5="Vollelektrisch (BEV)",0,IFERROR(VLOOKUP(Energie5,EnKostList,8,FALSE),0)*IF(Antriebsart5="Plug-In-Hybrid (PHEV)",VerbPHEV5,Verbrauch5)/100*Fahrleistung)</f>
        <v>0</v>
      </c>
      <c r="D28" s="2" t="s">
        <v>150</v>
      </c>
      <c r="E28" s="125"/>
      <c r="F28" s="125"/>
    </row>
    <row r="29" spans="1:6" x14ac:dyDescent="0.25">
      <c r="B29" s="1" t="s">
        <v>49</v>
      </c>
      <c r="C29" s="279">
        <f>IF(Antriebsart5="Verbrenner",0,VLOOKUP("Strom",EnKostList,8,FALSE)*IF(Antriebsart5="Plug-In-Hybrid (PHEV)",VerbElPHEV5,VerbEl_WLTP5)/100*Fahrleistung)</f>
        <v>2334.3000000000002</v>
      </c>
      <c r="D29" s="2" t="s">
        <v>150</v>
      </c>
      <c r="E29" s="125"/>
      <c r="F29" s="125"/>
    </row>
    <row r="30" spans="1:6" ht="14.4" thickBot="1" x14ac:dyDescent="0.3">
      <c r="B30" s="64" t="s">
        <v>91</v>
      </c>
      <c r="C30" s="280">
        <f>SUM(C28:C29)</f>
        <v>2334.3000000000002</v>
      </c>
      <c r="D30" s="64" t="s">
        <v>150</v>
      </c>
      <c r="E30" s="125"/>
      <c r="F30" s="125"/>
    </row>
    <row r="31" spans="1:6" ht="14.4" thickTop="1" x14ac:dyDescent="0.25">
      <c r="C31" s="10"/>
      <c r="D31" s="2"/>
      <c r="E31" s="125"/>
      <c r="F31" s="125"/>
    </row>
    <row r="32" spans="1:6" x14ac:dyDescent="0.25">
      <c r="B32" s="60" t="s">
        <v>151</v>
      </c>
      <c r="C32" s="145" t="str">
        <f>CONCATENATE("Energieträger: ",Energie5)</f>
        <v>Energieträger: Strom</v>
      </c>
      <c r="D32" s="60"/>
      <c r="E32" s="125"/>
      <c r="F32" s="125"/>
    </row>
    <row r="33" spans="1:6" ht="16.2" x14ac:dyDescent="0.35">
      <c r="A33" s="126"/>
      <c r="B33" s="1" t="s">
        <v>152</v>
      </c>
      <c r="C33" s="279">
        <f>IF(Antriebsart5="Plug-In-Hybrid (PHEV)",VerbPHEV5*VLOOKUP(Energie5,CO2List,2,FALSE)/100,CO2_5)*Fahrleistung/1000000</f>
        <v>0</v>
      </c>
      <c r="D33" s="2" t="s">
        <v>153</v>
      </c>
      <c r="E33" s="125"/>
      <c r="F33" s="125"/>
    </row>
    <row r="34" spans="1:6" x14ac:dyDescent="0.25">
      <c r="B34" s="1" t="s">
        <v>129</v>
      </c>
      <c r="C34" s="279">
        <f>C33*Kost_THG</f>
        <v>0</v>
      </c>
      <c r="D34" s="2" t="s">
        <v>150</v>
      </c>
      <c r="E34" s="125"/>
      <c r="F34" s="125"/>
    </row>
    <row r="35" spans="1:6" x14ac:dyDescent="0.25">
      <c r="B35" s="7" t="s">
        <v>154</v>
      </c>
      <c r="C35" s="287">
        <f>IF(Energie5="Strom",0,NOX_5*Fahrleistung*Kost_NOX/1000)</f>
        <v>0</v>
      </c>
      <c r="D35" s="65" t="s">
        <v>150</v>
      </c>
      <c r="E35" s="125"/>
      <c r="F35" s="125"/>
    </row>
    <row r="36" spans="1:6" x14ac:dyDescent="0.25">
      <c r="B36" s="7" t="s">
        <v>75</v>
      </c>
      <c r="C36" s="287">
        <f>IF(Energie5="Strom",0,Partikel5*Fahrleistung*Kost_Partikel/1000)</f>
        <v>0</v>
      </c>
      <c r="D36" s="65" t="s">
        <v>150</v>
      </c>
      <c r="E36" s="125"/>
      <c r="F36" s="125"/>
    </row>
    <row r="37" spans="1:6" ht="14.4" thickBot="1" x14ac:dyDescent="0.3">
      <c r="B37" s="64" t="s">
        <v>91</v>
      </c>
      <c r="C37" s="280">
        <f>SUM(C34:C36)</f>
        <v>0</v>
      </c>
      <c r="D37" s="64" t="s">
        <v>150</v>
      </c>
      <c r="E37" s="125"/>
      <c r="F37" s="125"/>
    </row>
    <row r="38" spans="1:6" ht="14.4" thickTop="1" x14ac:dyDescent="0.25">
      <c r="B38" s="14"/>
      <c r="D38" s="2"/>
      <c r="E38" s="125"/>
      <c r="F38" s="125"/>
    </row>
    <row r="39" spans="1:6" x14ac:dyDescent="0.25">
      <c r="B39" s="60" t="s">
        <v>155</v>
      </c>
      <c r="C39" s="145" t="str">
        <f>CONCATENATE("Energieträger: ",Energie5,IF(Antriebsart5="Plug-In-Hybrid (PHEV)","+Strom",""))</f>
        <v>Energieträger: Strom</v>
      </c>
      <c r="D39" s="60"/>
      <c r="E39" s="125"/>
      <c r="F39" s="125"/>
    </row>
    <row r="40" spans="1:6" ht="16.2" x14ac:dyDescent="0.35">
      <c r="B40" s="1" t="s">
        <v>152</v>
      </c>
      <c r="C40" s="279">
        <f>IFERROR(IF(Antriebsart5="Vollelektrisch (BEV)",VLOOKUP("Strom",CO2List,3,FALSE)*VerbEl_WLTP5/100*Fahrleistung/1000000,IF(Antriebsart5="Verbrenner",VLOOKUP(Energie5,CO2List,3,FALSE)*Verbrauch5/100*Fahrleistung/1000000,VLOOKUP(Energie5,CO2List,3,FALSE)*VerbPHEV5/100*Fahrleistung/1000000+VLOOKUP("Strom",CO2List,3,FALSE)*VerbElPHEV5/100*Fahrleistung/1000000)),0)</f>
        <v>1.3531500000000001</v>
      </c>
      <c r="D40" s="2" t="s">
        <v>153</v>
      </c>
      <c r="E40" s="125"/>
      <c r="F40" s="125"/>
    </row>
    <row r="41" spans="1:6" x14ac:dyDescent="0.25">
      <c r="B41" s="1" t="s">
        <v>156</v>
      </c>
      <c r="C41" s="279">
        <f>C40*Kost_THG</f>
        <v>1163.7090000000001</v>
      </c>
      <c r="D41" s="2" t="s">
        <v>150</v>
      </c>
      <c r="E41" s="125"/>
      <c r="F41" s="125"/>
    </row>
    <row r="42" spans="1:6" x14ac:dyDescent="0.25">
      <c r="E42" s="125"/>
      <c r="F42" s="125"/>
    </row>
    <row r="43" spans="1:6" x14ac:dyDescent="0.25">
      <c r="B43" s="154" t="s">
        <v>157</v>
      </c>
      <c r="C43" s="3"/>
      <c r="D43" s="3"/>
      <c r="E43" s="125"/>
      <c r="F43" s="125"/>
    </row>
    <row r="44" spans="1:6" x14ac:dyDescent="0.25">
      <c r="B44" s="66"/>
      <c r="C44" s="66"/>
      <c r="D44" s="66"/>
      <c r="E44" s="125"/>
      <c r="F44" s="125"/>
    </row>
    <row r="45" spans="1:6" s="67" customFormat="1" x14ac:dyDescent="0.25">
      <c r="A45" s="107"/>
      <c r="B45" s="90" t="s">
        <v>158</v>
      </c>
      <c r="C45" s="134" t="s">
        <v>159</v>
      </c>
      <c r="D45" s="62"/>
      <c r="E45" s="125"/>
      <c r="F45" s="125"/>
    </row>
    <row r="46" spans="1:6" s="67" customFormat="1" ht="16.2" x14ac:dyDescent="0.25">
      <c r="A46" s="404" t="s">
        <v>11</v>
      </c>
      <c r="B46" s="468" t="s">
        <v>152</v>
      </c>
      <c r="C46" s="281">
        <f>IF(OR(Antriebsart5="Vollelektrisch (BEV)",Antriebsart5="Plug-In-Hybrid (PHEV)"),Batterie5*Batterie_THG/1000,0)</f>
        <v>6.3</v>
      </c>
      <c r="D46" s="131" t="s">
        <v>160</v>
      </c>
      <c r="E46" s="127"/>
      <c r="F46" s="125"/>
    </row>
    <row r="47" spans="1:6" s="67" customFormat="1" ht="16.2" x14ac:dyDescent="0.25">
      <c r="A47" s="404"/>
      <c r="B47" s="469"/>
      <c r="C47" s="281">
        <f>IF((Fahrleistung*16)&lt;220000,C46*10^6/(Fahrleistung*16),C46*10^6/220000)</f>
        <v>28.636363636363637</v>
      </c>
      <c r="D47" s="130" t="s">
        <v>161</v>
      </c>
      <c r="E47" s="127"/>
      <c r="F47" s="125"/>
    </row>
    <row r="48" spans="1:6" x14ac:dyDescent="0.25">
      <c r="B48" s="1" t="s">
        <v>162</v>
      </c>
      <c r="C48" s="279">
        <f>IF(C47*Fahrleistung/10^6*Haltedauer&lt;C46, C47*Fahrleistung/10^6*Kost_THG, C46/Haltedauer*Kost_THG)</f>
        <v>615.68181818181824</v>
      </c>
      <c r="D48" s="2" t="s">
        <v>150</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163</v>
      </c>
    </row>
    <row r="54" spans="1:6" s="70" customFormat="1" ht="14.4" x14ac:dyDescent="0.3">
      <c r="A54" s="1"/>
      <c r="B54" s="68" t="s">
        <v>164</v>
      </c>
      <c r="C54" s="282">
        <f>IF(FinArt="Kauf",IF(KaufpreisRech="Kaufpreis",Gesamtpreis5,0),Gesamtpreis5*Haltedauer*12+IF(FinArt="Leasing",LeasSondZahl5,0))</f>
        <v>0</v>
      </c>
      <c r="D54" s="68" t="s">
        <v>65</v>
      </c>
      <c r="E54" s="69"/>
      <c r="F54" s="58"/>
    </row>
    <row r="55" spans="1:6" s="71" customFormat="1" ht="14.4" x14ac:dyDescent="0.25">
      <c r="A55" s="305" t="s">
        <v>11</v>
      </c>
      <c r="B55" s="1" t="s">
        <v>439</v>
      </c>
      <c r="C55" s="283">
        <f>IF(AND(KaufpreisRech="Wertminderung",FinArt="Kauf"),Gesamtpreis5-Gesamtpreis5*(-0.2*LN(Haltedauer)+0.667),0)</f>
        <v>26805.952582527021</v>
      </c>
      <c r="D55" s="1" t="s">
        <v>65</v>
      </c>
      <c r="E55" s="125"/>
      <c r="F55" s="73"/>
    </row>
    <row r="56" spans="1:6" x14ac:dyDescent="0.25">
      <c r="B56" s="1" t="s">
        <v>87</v>
      </c>
      <c r="C56" s="283">
        <f>C30*Haltedauer</f>
        <v>16340.100000000002</v>
      </c>
      <c r="D56" s="1" t="s">
        <v>65</v>
      </c>
      <c r="F56" s="73"/>
    </row>
    <row r="57" spans="1:6" x14ac:dyDescent="0.25">
      <c r="B57" s="1" t="s">
        <v>165</v>
      </c>
      <c r="C57" s="283">
        <f>C37*Haltedauer</f>
        <v>0</v>
      </c>
      <c r="D57" s="1" t="s">
        <v>65</v>
      </c>
      <c r="F57" s="58"/>
    </row>
    <row r="58" spans="1:6" x14ac:dyDescent="0.25">
      <c r="B58" s="1" t="s">
        <v>156</v>
      </c>
      <c r="C58" s="283">
        <f>C41*Haltedauer</f>
        <v>8145.9630000000006</v>
      </c>
      <c r="D58" s="1" t="s">
        <v>65</v>
      </c>
      <c r="F58" s="58"/>
    </row>
    <row r="59" spans="1:6" x14ac:dyDescent="0.25">
      <c r="B59" s="329" t="s">
        <v>90</v>
      </c>
      <c r="C59" s="330">
        <f>C48*Haltedauer</f>
        <v>4309.7727272727279</v>
      </c>
      <c r="D59" s="329" t="s">
        <v>65</v>
      </c>
      <c r="F59" s="147"/>
    </row>
    <row r="60" spans="1:6" x14ac:dyDescent="0.25">
      <c r="A60" s="404" t="s">
        <v>11</v>
      </c>
      <c r="B60" s="327" t="str">
        <f>IF(ISBLANK(Zusatzangabe_x), "", Zusatzangabe_x)</f>
        <v>Kfz-Steuer</v>
      </c>
      <c r="C60" s="328">
        <f>IF(ISBLANK(Zusatzangabe_x), "", Zusatzangabe_x5*Haltedauer)</f>
        <v>0</v>
      </c>
      <c r="D60" s="327" t="str">
        <f>IF(ISBLANK(Zusatzangabe_x), "", "EUR")</f>
        <v>EUR</v>
      </c>
      <c r="F60" s="147"/>
    </row>
    <row r="61" spans="1:6" x14ac:dyDescent="0.25">
      <c r="A61" s="404"/>
      <c r="B61" s="327" t="str">
        <f>IF(ISBLANK(Zusatzangabe_y), "", Zusatzangabe_y)</f>
        <v/>
      </c>
      <c r="C61" s="328" t="str">
        <f>IF(ISBLANK(Zusatzangabe_y), "", Zusatzangabe_y5*Haltedauer)</f>
        <v/>
      </c>
      <c r="D61" s="327" t="str">
        <f>IF(ISBLANK(Zusatzangabe_y), "", "EUR")</f>
        <v/>
      </c>
      <c r="F61" s="147"/>
    </row>
    <row r="62" spans="1:6" x14ac:dyDescent="0.25">
      <c r="A62" s="404"/>
      <c r="B62" s="327" t="str">
        <f>IF(ISBLANK(Zusatzangabe_z), "", Zusatzangabe_z)</f>
        <v/>
      </c>
      <c r="C62" s="328" t="str">
        <f>IF(ISBLANK(Zusatzangabe_z), "", Zusatzangabe_z5*Haltedauer)</f>
        <v/>
      </c>
      <c r="D62" s="327" t="str">
        <f>IF(ISBLANK(Zusatzangabe_z), "", "EUR")</f>
        <v/>
      </c>
      <c r="F62" s="147"/>
    </row>
    <row r="63" spans="1:6" ht="14.4" thickBot="1" x14ac:dyDescent="0.3">
      <c r="B63" s="64" t="s">
        <v>91</v>
      </c>
      <c r="C63" s="284">
        <f>SUM(C54:C62)</f>
        <v>55601.788309799755</v>
      </c>
      <c r="D63" s="64" t="s">
        <v>65</v>
      </c>
      <c r="E63" s="14"/>
      <c r="F63" s="58"/>
    </row>
    <row r="64" spans="1:6" s="59" customFormat="1" ht="14.4" thickTop="1" x14ac:dyDescent="0.25">
      <c r="A64" s="1"/>
      <c r="B64" s="1"/>
      <c r="C64" s="10"/>
      <c r="D64" s="1"/>
      <c r="E64" s="14"/>
      <c r="F64" s="1"/>
    </row>
    <row r="65" spans="2:5" ht="16.2" x14ac:dyDescent="0.35">
      <c r="B65" s="68" t="s">
        <v>166</v>
      </c>
      <c r="C65" s="285">
        <f>IF(C47*Fahrleistung/10^6*Haltedauer&lt;C46, C47*Fahrleistung/10^6*Haltedauer, C46)</f>
        <v>5.0113636363636367</v>
      </c>
      <c r="D65" s="68" t="s">
        <v>167</v>
      </c>
    </row>
    <row r="66" spans="2:5" ht="16.2" x14ac:dyDescent="0.35">
      <c r="B66" s="72" t="s">
        <v>96</v>
      </c>
      <c r="C66" s="286">
        <f>C33*Haltedauer+C40*Haltedauer</f>
        <v>9.4720500000000012</v>
      </c>
      <c r="D66" s="72" t="s">
        <v>167</v>
      </c>
      <c r="E66" s="71"/>
    </row>
  </sheetData>
  <sheetProtection sheet="1" objects="1" scenarios="1"/>
  <mergeCells count="5">
    <mergeCell ref="A46:A47"/>
    <mergeCell ref="B46:B47"/>
    <mergeCell ref="B22:B23"/>
    <mergeCell ref="A22:A23"/>
    <mergeCell ref="A60:A62"/>
  </mergeCells>
  <conditionalFormatting sqref="A16:D23">
    <cfRule type="expression" dxfId="0" priority="1">
      <formula>Antriebsart5&lt;&gt;"Plug-In-Hybrid (PHEV)"</formula>
    </cfRule>
  </conditionalFormatting>
  <hyperlinks>
    <hyperlink ref="E2" location="Anleitung!A1" display="zurück zu &quot;Anleitung&quot;" xr:uid="{00000000-0004-0000-0A00-000000000000}"/>
  </hyperlinks>
  <pageMargins left="0.25" right="0.25" top="0.75" bottom="0.75" header="0.3" footer="0.3"/>
  <pageSetup paperSize="9" scale="7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K30"/>
  <sheetViews>
    <sheetView showGridLines="0" zoomScaleNormal="100" workbookViewId="0"/>
  </sheetViews>
  <sheetFormatPr baseColWidth="10" defaultColWidth="11.5546875" defaultRowHeight="13.8" x14ac:dyDescent="0.25"/>
  <cols>
    <col min="1" max="1" width="4.6640625" style="1" customWidth="1"/>
    <col min="2" max="2" width="16.33203125" style="1" customWidth="1"/>
    <col min="3" max="5" width="11.5546875" style="1"/>
    <col min="6" max="6" width="15.6640625" style="1" customWidth="1"/>
    <col min="7" max="7" width="6.88671875" style="1" customWidth="1"/>
    <col min="8" max="8" width="15.5546875" style="1" customWidth="1"/>
    <col min="9" max="9" width="14.44140625" style="1" customWidth="1"/>
    <col min="10" max="37" width="7.6640625" style="1" customWidth="1"/>
    <col min="38" max="16384" width="11.5546875" style="1"/>
  </cols>
  <sheetData>
    <row r="2" spans="1:9" x14ac:dyDescent="0.25">
      <c r="B2" s="2" t="s">
        <v>168</v>
      </c>
      <c r="H2" s="106" t="s">
        <v>20</v>
      </c>
    </row>
    <row r="4" spans="1:9" x14ac:dyDescent="0.25">
      <c r="B4" s="154" t="s">
        <v>421</v>
      </c>
      <c r="C4" s="5"/>
      <c r="D4" s="5"/>
      <c r="E4" s="5"/>
      <c r="F4" s="5"/>
    </row>
    <row r="6" spans="1:9" x14ac:dyDescent="0.25">
      <c r="C6" s="63" t="s">
        <v>169</v>
      </c>
      <c r="D6" s="63" t="s">
        <v>170</v>
      </c>
      <c r="E6" s="1" t="s">
        <v>104</v>
      </c>
    </row>
    <row r="7" spans="1:9" ht="16.2" x14ac:dyDescent="0.35">
      <c r="B7" s="1" t="s">
        <v>50</v>
      </c>
      <c r="C7" s="302">
        <v>74.027000000000001</v>
      </c>
      <c r="D7" s="10">
        <v>23.4</v>
      </c>
      <c r="E7" s="12" t="s">
        <v>171</v>
      </c>
    </row>
    <row r="8" spans="1:9" ht="16.2" x14ac:dyDescent="0.35">
      <c r="B8" s="1" t="s">
        <v>51</v>
      </c>
      <c r="C8" s="302">
        <v>72.787000000000006</v>
      </c>
      <c r="D8" s="10">
        <v>23.2</v>
      </c>
      <c r="E8" s="12" t="s">
        <v>171</v>
      </c>
    </row>
    <row r="9" spans="1:9" ht="16.2" x14ac:dyDescent="0.35">
      <c r="B9" s="1" t="s">
        <v>125</v>
      </c>
      <c r="C9" s="302">
        <v>56.220999999999997</v>
      </c>
      <c r="D9" s="10">
        <v>20.3</v>
      </c>
      <c r="E9" s="12" t="s">
        <v>171</v>
      </c>
    </row>
    <row r="10" spans="1:9" ht="21.6" customHeight="1" x14ac:dyDescent="0.25">
      <c r="B10" s="92" t="s">
        <v>420</v>
      </c>
      <c r="C10" s="10"/>
      <c r="D10" s="10"/>
    </row>
    <row r="11" spans="1:9" x14ac:dyDescent="0.25">
      <c r="C11" s="10"/>
    </row>
    <row r="12" spans="1:9" x14ac:dyDescent="0.25">
      <c r="B12" s="154" t="s">
        <v>172</v>
      </c>
      <c r="C12" s="93"/>
      <c r="D12" s="5"/>
      <c r="E12" s="5"/>
      <c r="F12" s="5"/>
    </row>
    <row r="13" spans="1:9" x14ac:dyDescent="0.25">
      <c r="B13" s="7"/>
      <c r="C13" s="15"/>
      <c r="D13" s="7"/>
      <c r="E13" s="7"/>
      <c r="F13" s="7"/>
      <c r="G13" s="7"/>
      <c r="I13" s="107"/>
    </row>
    <row r="14" spans="1:9" ht="14.4" customHeight="1" x14ac:dyDescent="0.25">
      <c r="B14" s="110" t="s">
        <v>48</v>
      </c>
      <c r="C14" s="472" t="s">
        <v>173</v>
      </c>
      <c r="D14" s="472"/>
      <c r="E14" s="473" t="s">
        <v>174</v>
      </c>
      <c r="F14" s="473"/>
      <c r="G14" s="304"/>
    </row>
    <row r="15" spans="1:9" x14ac:dyDescent="0.25">
      <c r="A15" s="66"/>
      <c r="B15" s="1" t="s">
        <v>50</v>
      </c>
      <c r="C15" s="58">
        <v>1</v>
      </c>
      <c r="D15" s="1" t="s">
        <v>175</v>
      </c>
      <c r="E15" s="136">
        <f>42.722*0.832</f>
        <v>35.544704000000003</v>
      </c>
      <c r="F15" s="111" t="s">
        <v>176</v>
      </c>
      <c r="G15" s="111"/>
      <c r="H15" s="136"/>
    </row>
    <row r="16" spans="1:9" x14ac:dyDescent="0.25">
      <c r="B16" s="1" t="s">
        <v>51</v>
      </c>
      <c r="C16" s="58">
        <v>1</v>
      </c>
      <c r="D16" s="1" t="s">
        <v>175</v>
      </c>
      <c r="E16" s="136">
        <f>43.543*0.742</f>
        <v>32.308906</v>
      </c>
      <c r="F16" s="111" t="s">
        <v>176</v>
      </c>
      <c r="G16" s="111"/>
      <c r="H16" s="136"/>
    </row>
    <row r="17" spans="1:37" x14ac:dyDescent="0.25">
      <c r="A17" s="66"/>
      <c r="B17" s="1" t="s">
        <v>125</v>
      </c>
      <c r="C17" s="58">
        <v>1</v>
      </c>
      <c r="D17" s="1" t="s">
        <v>177</v>
      </c>
      <c r="E17" s="303">
        <v>46.5</v>
      </c>
      <c r="F17" s="111" t="s">
        <v>176</v>
      </c>
      <c r="G17" s="111"/>
    </row>
    <row r="18" spans="1:37" ht="21.6" customHeight="1" x14ac:dyDescent="0.25">
      <c r="B18" s="92" t="s">
        <v>420</v>
      </c>
      <c r="D18" s="106"/>
      <c r="E18" s="10"/>
    </row>
    <row r="20" spans="1:37" x14ac:dyDescent="0.25">
      <c r="B20" s="154" t="s">
        <v>421</v>
      </c>
      <c r="C20" s="5"/>
      <c r="D20" s="5"/>
      <c r="E20" s="5"/>
      <c r="F20" s="5"/>
      <c r="H20" s="2" t="s">
        <v>400</v>
      </c>
    </row>
    <row r="21" spans="1:37" x14ac:dyDescent="0.25">
      <c r="B21" s="66"/>
      <c r="I21" s="58" t="s">
        <v>119</v>
      </c>
      <c r="J21" s="135" t="s">
        <v>411</v>
      </c>
      <c r="K21" s="135"/>
      <c r="L21" s="135"/>
      <c r="M21" s="135"/>
      <c r="O21" s="137" t="s">
        <v>419</v>
      </c>
      <c r="P21" s="137"/>
      <c r="Q21" s="137"/>
      <c r="R21" s="137"/>
      <c r="S21" s="137"/>
    </row>
    <row r="22" spans="1:37" x14ac:dyDescent="0.25">
      <c r="B22" s="66"/>
      <c r="C22" s="63" t="s">
        <v>169</v>
      </c>
      <c r="D22" s="63" t="s">
        <v>170</v>
      </c>
      <c r="E22" s="1" t="s">
        <v>104</v>
      </c>
    </row>
    <row r="23" spans="1:37" ht="16.2" x14ac:dyDescent="0.35">
      <c r="A23" s="138" t="s">
        <v>11</v>
      </c>
      <c r="B23" s="7" t="s">
        <v>49</v>
      </c>
      <c r="C23" s="58">
        <v>0</v>
      </c>
      <c r="D23" s="299">
        <f>SUMIFS(J24:AE24, J23:AE23, "&gt;=" &amp; Anschaffungsjahr, J23:AE23,  "&lt;" &amp; Anschaffungsjahr + ROUND(Haltedauer, 0))/ROUND(Haltedauer, 0)</f>
        <v>290.99999999999994</v>
      </c>
      <c r="E23" s="74" t="s">
        <v>178</v>
      </c>
      <c r="F23" s="11"/>
      <c r="G23" s="11"/>
      <c r="I23" s="58" t="s">
        <v>179</v>
      </c>
      <c r="J23" s="2">
        <v>2023</v>
      </c>
      <c r="K23" s="2">
        <v>2024</v>
      </c>
      <c r="L23" s="2">
        <v>2025</v>
      </c>
      <c r="M23" s="2">
        <v>2026</v>
      </c>
      <c r="N23" s="2">
        <v>2027</v>
      </c>
      <c r="O23" s="2">
        <v>2028</v>
      </c>
      <c r="P23" s="2">
        <v>2029</v>
      </c>
      <c r="Q23" s="2">
        <v>2030</v>
      </c>
      <c r="R23" s="2">
        <v>2031</v>
      </c>
      <c r="S23" s="2">
        <v>2032</v>
      </c>
      <c r="T23" s="2">
        <v>2033</v>
      </c>
      <c r="U23" s="2">
        <v>2034</v>
      </c>
      <c r="V23" s="2">
        <v>2035</v>
      </c>
      <c r="W23" s="2">
        <v>2036</v>
      </c>
      <c r="X23" s="2">
        <v>2037</v>
      </c>
      <c r="Y23" s="2">
        <v>2038</v>
      </c>
      <c r="Z23" s="2">
        <v>2039</v>
      </c>
      <c r="AA23" s="2">
        <v>2040</v>
      </c>
      <c r="AB23" s="2">
        <v>2041</v>
      </c>
      <c r="AC23" s="2">
        <v>2042</v>
      </c>
      <c r="AD23" s="2">
        <v>2043</v>
      </c>
      <c r="AE23" s="2">
        <v>2044</v>
      </c>
      <c r="AF23" s="2">
        <v>2045</v>
      </c>
      <c r="AG23" s="2">
        <v>2046</v>
      </c>
      <c r="AH23" s="2">
        <v>2047</v>
      </c>
      <c r="AI23" s="2">
        <v>2048</v>
      </c>
      <c r="AJ23" s="2">
        <v>2049</v>
      </c>
      <c r="AK23" s="2">
        <v>2050</v>
      </c>
    </row>
    <row r="24" spans="1:37" ht="16.2" x14ac:dyDescent="0.35">
      <c r="B24" s="1" t="s">
        <v>50</v>
      </c>
      <c r="C24" s="96">
        <f>C7*E15</f>
        <v>2631.2678030080001</v>
      </c>
      <c r="D24" s="96">
        <f>D7*E15</f>
        <v>831.74607360000005</v>
      </c>
      <c r="E24" s="12" t="s">
        <v>180</v>
      </c>
      <c r="I24" s="58" t="s">
        <v>455</v>
      </c>
      <c r="J24" s="300">
        <v>445</v>
      </c>
      <c r="K24" s="96">
        <v>408</v>
      </c>
      <c r="L24" s="301">
        <v>371</v>
      </c>
      <c r="M24" s="96">
        <v>331.2</v>
      </c>
      <c r="N24" s="96">
        <v>291.39999999999998</v>
      </c>
      <c r="O24" s="96">
        <v>251.60000000000002</v>
      </c>
      <c r="P24" s="96">
        <v>211.8</v>
      </c>
      <c r="Q24" s="301">
        <v>172</v>
      </c>
      <c r="R24" s="96">
        <v>158.80000000000001</v>
      </c>
      <c r="S24" s="96">
        <v>145.6</v>
      </c>
      <c r="T24" s="96">
        <v>132.4</v>
      </c>
      <c r="U24" s="96">
        <v>119.2</v>
      </c>
      <c r="V24" s="301">
        <v>106</v>
      </c>
      <c r="W24" s="96">
        <v>100</v>
      </c>
      <c r="X24" s="96">
        <v>94</v>
      </c>
      <c r="Y24" s="96">
        <v>88</v>
      </c>
      <c r="Z24" s="96">
        <v>82</v>
      </c>
      <c r="AA24" s="301">
        <v>76</v>
      </c>
      <c r="AB24" s="136">
        <v>76.400000000000006</v>
      </c>
      <c r="AC24" s="136">
        <v>76.8</v>
      </c>
      <c r="AD24" s="136">
        <v>77.2</v>
      </c>
      <c r="AE24" s="136">
        <v>77.599999999999994</v>
      </c>
      <c r="AF24" s="136">
        <v>78</v>
      </c>
      <c r="AG24" s="136">
        <v>78.400000000000006</v>
      </c>
      <c r="AH24" s="136">
        <v>78.8</v>
      </c>
      <c r="AI24" s="136">
        <v>79.2</v>
      </c>
      <c r="AJ24" s="136">
        <v>79.599999999999994</v>
      </c>
      <c r="AK24" s="301">
        <v>80</v>
      </c>
    </row>
    <row r="25" spans="1:37" ht="16.2" x14ac:dyDescent="0.35">
      <c r="B25" s="1" t="s">
        <v>51</v>
      </c>
      <c r="C25" s="96">
        <f>C8*E16</f>
        <v>2351.6683410220003</v>
      </c>
      <c r="D25" s="96">
        <f>D8*E16</f>
        <v>749.56661919999999</v>
      </c>
      <c r="E25" s="12" t="s">
        <v>180</v>
      </c>
    </row>
    <row r="26" spans="1:37" ht="16.2" x14ac:dyDescent="0.35">
      <c r="B26" s="1" t="s">
        <v>125</v>
      </c>
      <c r="C26" s="96">
        <f>C9*E17</f>
        <v>2614.2764999999999</v>
      </c>
      <c r="D26" s="96">
        <f>D9*E17</f>
        <v>943.95</v>
      </c>
      <c r="E26" s="12" t="s">
        <v>181</v>
      </c>
      <c r="K26" s="136"/>
    </row>
    <row r="27" spans="1:37" x14ac:dyDescent="0.25">
      <c r="C27" s="94"/>
      <c r="D27" s="94"/>
    </row>
    <row r="28" spans="1:37" x14ac:dyDescent="0.25">
      <c r="C28" s="10"/>
      <c r="D28" s="94"/>
    </row>
    <row r="29" spans="1:37" x14ac:dyDescent="0.25">
      <c r="B29" s="104"/>
      <c r="C29" s="105"/>
      <c r="I29" s="136"/>
      <c r="K29" s="96"/>
    </row>
    <row r="30" spans="1:37" x14ac:dyDescent="0.25">
      <c r="C30" s="95"/>
    </row>
  </sheetData>
  <sheetProtection sheet="1" objects="1" scenarios="1"/>
  <mergeCells count="2">
    <mergeCell ref="C14:D14"/>
    <mergeCell ref="E14:F14"/>
  </mergeCells>
  <hyperlinks>
    <hyperlink ref="H2" location="Anleitung!A1" display="zurück zu &quot;Anleitung&quot;" xr:uid="{00000000-0004-0000-0B00-000000000000}"/>
  </hyperlinks>
  <pageMargins left="0.7" right="0.7" top="0.78740157499999996" bottom="0.78740157499999996" header="0.3" footer="0.3"/>
  <pageSetup paperSize="9" orientation="portrait" r:id="rId1"/>
  <ignoredErrors>
    <ignoredError sqref="D23" formulaRange="1"/>
  </ignoredError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Q207"/>
  <sheetViews>
    <sheetView showGridLines="0" zoomScaleNormal="100" workbookViewId="0"/>
  </sheetViews>
  <sheetFormatPr baseColWidth="10" defaultColWidth="11.5546875" defaultRowHeight="13.8" x14ac:dyDescent="0.25"/>
  <cols>
    <col min="1" max="1" width="4.6640625" style="1" customWidth="1"/>
    <col min="2" max="2" width="18.33203125" style="1" customWidth="1"/>
    <col min="3" max="16384" width="11.5546875" style="1"/>
  </cols>
  <sheetData>
    <row r="2" spans="2:17" x14ac:dyDescent="0.25">
      <c r="B2" s="2" t="s">
        <v>197</v>
      </c>
      <c r="Q2" s="106" t="s">
        <v>20</v>
      </c>
    </row>
    <row r="39" spans="2:9" ht="15" customHeight="1" x14ac:dyDescent="0.25">
      <c r="B39" s="234" t="s">
        <v>457</v>
      </c>
    </row>
    <row r="40" spans="2:9" ht="15" customHeight="1" x14ac:dyDescent="0.25">
      <c r="B40" s="234" t="s">
        <v>458</v>
      </c>
    </row>
    <row r="41" spans="2:9" ht="15" customHeight="1" x14ac:dyDescent="0.25">
      <c r="B41" s="234" t="s">
        <v>198</v>
      </c>
    </row>
    <row r="42" spans="2:9" ht="15" customHeight="1" x14ac:dyDescent="0.25">
      <c r="B42" s="234"/>
    </row>
    <row r="43" spans="2:9" ht="15" customHeight="1" x14ac:dyDescent="0.25">
      <c r="B43" s="234"/>
    </row>
    <row r="44" spans="2:9" ht="15" customHeight="1" x14ac:dyDescent="0.25">
      <c r="B44" s="2" t="s">
        <v>588</v>
      </c>
    </row>
    <row r="45" spans="2:9" ht="15" customHeight="1" x14ac:dyDescent="0.25">
      <c r="B45" s="267" t="s">
        <v>589</v>
      </c>
      <c r="I45" s="106"/>
    </row>
    <row r="46" spans="2:9" ht="15" customHeight="1" x14ac:dyDescent="0.25">
      <c r="B46" s="266"/>
      <c r="I46" s="106"/>
    </row>
    <row r="48" spans="2:9" x14ac:dyDescent="0.25">
      <c r="B48" s="2" t="s">
        <v>199</v>
      </c>
    </row>
    <row r="50" spans="2:4" x14ac:dyDescent="0.25">
      <c r="B50" s="1" t="s">
        <v>409</v>
      </c>
      <c r="D50" s="1" t="s">
        <v>590</v>
      </c>
    </row>
    <row r="51" spans="2:4" x14ac:dyDescent="0.25">
      <c r="B51" s="1" t="s">
        <v>200</v>
      </c>
      <c r="D51" s="1" t="s">
        <v>461</v>
      </c>
    </row>
    <row r="52" spans="2:4" x14ac:dyDescent="0.25">
      <c r="B52" s="1" t="s">
        <v>201</v>
      </c>
      <c r="D52" s="1" t="s">
        <v>591</v>
      </c>
    </row>
    <row r="53" spans="2:4" x14ac:dyDescent="0.25">
      <c r="B53" s="1" t="s">
        <v>202</v>
      </c>
      <c r="D53" s="1" t="s">
        <v>597</v>
      </c>
    </row>
    <row r="54" spans="2:4" x14ac:dyDescent="0.25">
      <c r="B54" s="1" t="s">
        <v>30</v>
      </c>
      <c r="D54" s="1" t="s">
        <v>598</v>
      </c>
    </row>
    <row r="55" spans="2:4" x14ac:dyDescent="0.25">
      <c r="B55" s="1" t="s">
        <v>203</v>
      </c>
      <c r="D55" s="1" t="s">
        <v>599</v>
      </c>
    </row>
    <row r="56" spans="2:4" x14ac:dyDescent="0.25">
      <c r="B56" s="1" t="s">
        <v>204</v>
      </c>
      <c r="D56" s="1" t="s">
        <v>601</v>
      </c>
    </row>
    <row r="57" spans="2:4" x14ac:dyDescent="0.25">
      <c r="B57" s="1" t="s">
        <v>602</v>
      </c>
      <c r="D57" s="1" t="s">
        <v>469</v>
      </c>
    </row>
    <row r="58" spans="2:4" x14ac:dyDescent="0.25">
      <c r="B58" s="1" t="s">
        <v>628</v>
      </c>
      <c r="D58" s="1" t="s">
        <v>468</v>
      </c>
    </row>
    <row r="59" spans="2:4" x14ac:dyDescent="0.25">
      <c r="B59" s="1" t="s">
        <v>205</v>
      </c>
      <c r="D59" s="1" t="s">
        <v>470</v>
      </c>
    </row>
    <row r="60" spans="2:4" x14ac:dyDescent="0.25">
      <c r="B60" s="1" t="s">
        <v>629</v>
      </c>
      <c r="D60" s="1" t="s">
        <v>630</v>
      </c>
    </row>
    <row r="61" spans="2:4" x14ac:dyDescent="0.25">
      <c r="B61" s="1" t="s">
        <v>206</v>
      </c>
      <c r="D61" s="1" t="s">
        <v>511</v>
      </c>
    </row>
    <row r="62" spans="2:4" x14ac:dyDescent="0.25">
      <c r="B62" s="1" t="s">
        <v>207</v>
      </c>
      <c r="D62" s="1" t="s">
        <v>208</v>
      </c>
    </row>
    <row r="63" spans="2:4" x14ac:dyDescent="0.25">
      <c r="B63" s="1" t="s">
        <v>209</v>
      </c>
      <c r="D63" s="1" t="s">
        <v>210</v>
      </c>
    </row>
    <row r="64" spans="2:4" x14ac:dyDescent="0.25">
      <c r="B64" s="1" t="s">
        <v>211</v>
      </c>
      <c r="D64" s="1" t="s">
        <v>212</v>
      </c>
    </row>
    <row r="65" spans="2:4" x14ac:dyDescent="0.25">
      <c r="B65" s="1" t="s">
        <v>213</v>
      </c>
      <c r="D65" s="1" t="s">
        <v>214</v>
      </c>
    </row>
    <row r="66" spans="2:4" x14ac:dyDescent="0.25">
      <c r="B66" s="1" t="s">
        <v>215</v>
      </c>
      <c r="D66" s="1" t="s">
        <v>216</v>
      </c>
    </row>
    <row r="67" spans="2:4" x14ac:dyDescent="0.25">
      <c r="B67" s="1" t="s">
        <v>217</v>
      </c>
      <c r="D67" s="1" t="s">
        <v>218</v>
      </c>
    </row>
    <row r="68" spans="2:4" x14ac:dyDescent="0.25">
      <c r="B68" s="1" t="s">
        <v>219</v>
      </c>
      <c r="D68" s="1" t="s">
        <v>220</v>
      </c>
    </row>
    <row r="69" spans="2:4" x14ac:dyDescent="0.25">
      <c r="B69" s="1" t="s">
        <v>221</v>
      </c>
      <c r="D69" s="1" t="s">
        <v>222</v>
      </c>
    </row>
    <row r="70" spans="2:4" x14ac:dyDescent="0.25">
      <c r="B70" s="1" t="s">
        <v>223</v>
      </c>
      <c r="D70" s="1" t="s">
        <v>224</v>
      </c>
    </row>
    <row r="71" spans="2:4" x14ac:dyDescent="0.25">
      <c r="B71" s="1" t="s">
        <v>225</v>
      </c>
      <c r="D71" s="1" t="s">
        <v>226</v>
      </c>
    </row>
    <row r="72" spans="2:4" x14ac:dyDescent="0.25">
      <c r="B72" s="1" t="s">
        <v>227</v>
      </c>
      <c r="D72" s="1" t="s">
        <v>553</v>
      </c>
    </row>
    <row r="73" spans="2:4" x14ac:dyDescent="0.25">
      <c r="B73" s="1" t="s">
        <v>229</v>
      </c>
      <c r="D73" s="1" t="s">
        <v>554</v>
      </c>
    </row>
    <row r="74" spans="2:4" x14ac:dyDescent="0.25">
      <c r="B74" s="1" t="s">
        <v>231</v>
      </c>
      <c r="D74" s="1" t="s">
        <v>555</v>
      </c>
    </row>
    <row r="75" spans="2:4" x14ac:dyDescent="0.25">
      <c r="B75" s="1" t="s">
        <v>233</v>
      </c>
      <c r="D75" s="1" t="s">
        <v>556</v>
      </c>
    </row>
    <row r="76" spans="2:4" x14ac:dyDescent="0.25">
      <c r="B76" s="1" t="s">
        <v>235</v>
      </c>
      <c r="D76" s="1" t="s">
        <v>557</v>
      </c>
    </row>
    <row r="77" spans="2:4" x14ac:dyDescent="0.25">
      <c r="B77" s="1" t="s">
        <v>237</v>
      </c>
      <c r="D77" s="1" t="s">
        <v>298</v>
      </c>
    </row>
    <row r="78" spans="2:4" x14ac:dyDescent="0.25">
      <c r="B78" s="1" t="s">
        <v>239</v>
      </c>
      <c r="D78" s="1" t="s">
        <v>300</v>
      </c>
    </row>
    <row r="79" spans="2:4" x14ac:dyDescent="0.25">
      <c r="B79" s="1" t="s">
        <v>241</v>
      </c>
      <c r="D79" s="1" t="s">
        <v>302</v>
      </c>
    </row>
    <row r="80" spans="2:4" x14ac:dyDescent="0.25">
      <c r="B80" s="1" t="s">
        <v>243</v>
      </c>
      <c r="D80" s="1" t="s">
        <v>304</v>
      </c>
    </row>
    <row r="81" spans="2:4" x14ac:dyDescent="0.25">
      <c r="B81" s="1" t="s">
        <v>245</v>
      </c>
      <c r="D81" s="1" t="s">
        <v>306</v>
      </c>
    </row>
    <row r="82" spans="2:4" x14ac:dyDescent="0.25">
      <c r="B82" s="1" t="s">
        <v>247</v>
      </c>
      <c r="D82" s="1" t="s">
        <v>248</v>
      </c>
    </row>
    <row r="83" spans="2:4" x14ac:dyDescent="0.25">
      <c r="B83" s="1" t="s">
        <v>249</v>
      </c>
      <c r="D83" s="1" t="s">
        <v>250</v>
      </c>
    </row>
    <row r="84" spans="2:4" x14ac:dyDescent="0.25">
      <c r="B84" s="1" t="s">
        <v>251</v>
      </c>
      <c r="D84" s="1" t="s">
        <v>252</v>
      </c>
    </row>
    <row r="85" spans="2:4" x14ac:dyDescent="0.25">
      <c r="B85" s="1" t="s">
        <v>253</v>
      </c>
      <c r="D85" s="1" t="s">
        <v>254</v>
      </c>
    </row>
    <row r="86" spans="2:4" x14ac:dyDescent="0.25">
      <c r="B86" s="1" t="s">
        <v>255</v>
      </c>
      <c r="D86" s="1" t="s">
        <v>256</v>
      </c>
    </row>
    <row r="87" spans="2:4" x14ac:dyDescent="0.25">
      <c r="B87" s="1" t="s">
        <v>592</v>
      </c>
      <c r="D87" s="1" t="s">
        <v>258</v>
      </c>
    </row>
    <row r="88" spans="2:4" x14ac:dyDescent="0.25">
      <c r="B88" s="1" t="s">
        <v>593</v>
      </c>
      <c r="D88" s="1" t="s">
        <v>260</v>
      </c>
    </row>
    <row r="89" spans="2:4" x14ac:dyDescent="0.25">
      <c r="B89" s="1" t="s">
        <v>594</v>
      </c>
      <c r="D89" s="1" t="s">
        <v>262</v>
      </c>
    </row>
    <row r="90" spans="2:4" x14ac:dyDescent="0.25">
      <c r="B90" s="1" t="s">
        <v>595</v>
      </c>
      <c r="D90" s="1" t="s">
        <v>264</v>
      </c>
    </row>
    <row r="91" spans="2:4" x14ac:dyDescent="0.25">
      <c r="B91" s="1" t="s">
        <v>596</v>
      </c>
      <c r="D91" s="1" t="s">
        <v>266</v>
      </c>
    </row>
    <row r="92" spans="2:4" x14ac:dyDescent="0.25">
      <c r="B92" s="1" t="s">
        <v>257</v>
      </c>
      <c r="D92" s="1" t="s">
        <v>278</v>
      </c>
    </row>
    <row r="93" spans="2:4" x14ac:dyDescent="0.25">
      <c r="B93" s="1" t="s">
        <v>259</v>
      </c>
      <c r="D93" s="1" t="s">
        <v>280</v>
      </c>
    </row>
    <row r="94" spans="2:4" x14ac:dyDescent="0.25">
      <c r="B94" s="1" t="s">
        <v>261</v>
      </c>
      <c r="D94" s="1" t="s">
        <v>282</v>
      </c>
    </row>
    <row r="95" spans="2:4" x14ac:dyDescent="0.25">
      <c r="B95" s="1" t="s">
        <v>263</v>
      </c>
      <c r="D95" s="1" t="s">
        <v>284</v>
      </c>
    </row>
    <row r="96" spans="2:4" x14ac:dyDescent="0.25">
      <c r="B96" s="1" t="s">
        <v>265</v>
      </c>
      <c r="D96" s="1" t="s">
        <v>286</v>
      </c>
    </row>
    <row r="97" spans="2:4" x14ac:dyDescent="0.25">
      <c r="B97" s="1" t="s">
        <v>267</v>
      </c>
      <c r="D97" s="1" t="s">
        <v>268</v>
      </c>
    </row>
    <row r="98" spans="2:4" x14ac:dyDescent="0.25">
      <c r="B98" s="1" t="s">
        <v>269</v>
      </c>
      <c r="D98" s="1" t="s">
        <v>270</v>
      </c>
    </row>
    <row r="99" spans="2:4" x14ac:dyDescent="0.25">
      <c r="B99" s="1" t="s">
        <v>271</v>
      </c>
      <c r="D99" s="1" t="s">
        <v>272</v>
      </c>
    </row>
    <row r="100" spans="2:4" x14ac:dyDescent="0.25">
      <c r="B100" s="1" t="s">
        <v>273</v>
      </c>
      <c r="D100" s="1" t="s">
        <v>274</v>
      </c>
    </row>
    <row r="101" spans="2:4" x14ac:dyDescent="0.25">
      <c r="B101" s="1" t="s">
        <v>275</v>
      </c>
      <c r="D101" s="1" t="s">
        <v>276</v>
      </c>
    </row>
    <row r="102" spans="2:4" x14ac:dyDescent="0.25">
      <c r="B102" s="1" t="s">
        <v>277</v>
      </c>
      <c r="D102" s="1" t="s">
        <v>338</v>
      </c>
    </row>
    <row r="103" spans="2:4" x14ac:dyDescent="0.25">
      <c r="B103" s="1" t="s">
        <v>279</v>
      </c>
      <c r="D103" s="1" t="s">
        <v>340</v>
      </c>
    </row>
    <row r="104" spans="2:4" x14ac:dyDescent="0.25">
      <c r="B104" s="1" t="s">
        <v>281</v>
      </c>
      <c r="D104" s="1" t="s">
        <v>342</v>
      </c>
    </row>
    <row r="105" spans="2:4" x14ac:dyDescent="0.25">
      <c r="B105" s="1" t="s">
        <v>283</v>
      </c>
      <c r="D105" s="1" t="s">
        <v>344</v>
      </c>
    </row>
    <row r="106" spans="2:4" x14ac:dyDescent="0.25">
      <c r="B106" s="1" t="s">
        <v>285</v>
      </c>
      <c r="D106" s="1" t="s">
        <v>346</v>
      </c>
    </row>
    <row r="107" spans="2:4" x14ac:dyDescent="0.25">
      <c r="B107" s="1" t="s">
        <v>287</v>
      </c>
      <c r="D107" s="1" t="s">
        <v>288</v>
      </c>
    </row>
    <row r="108" spans="2:4" x14ac:dyDescent="0.25">
      <c r="B108" s="1" t="s">
        <v>289</v>
      </c>
      <c r="D108" s="1" t="s">
        <v>290</v>
      </c>
    </row>
    <row r="109" spans="2:4" x14ac:dyDescent="0.25">
      <c r="B109" s="1" t="s">
        <v>291</v>
      </c>
      <c r="D109" s="1" t="s">
        <v>292</v>
      </c>
    </row>
    <row r="110" spans="2:4" x14ac:dyDescent="0.25">
      <c r="B110" s="1" t="s">
        <v>293</v>
      </c>
      <c r="D110" s="1" t="s">
        <v>294</v>
      </c>
    </row>
    <row r="111" spans="2:4" x14ac:dyDescent="0.25">
      <c r="B111" s="1" t="s">
        <v>295</v>
      </c>
      <c r="D111" s="1" t="s">
        <v>296</v>
      </c>
    </row>
    <row r="112" spans="2:4" x14ac:dyDescent="0.25">
      <c r="B112" s="1" t="s">
        <v>297</v>
      </c>
      <c r="D112" s="1" t="s">
        <v>308</v>
      </c>
    </row>
    <row r="113" spans="2:4" x14ac:dyDescent="0.25">
      <c r="B113" s="1" t="s">
        <v>299</v>
      </c>
      <c r="D113" s="1" t="s">
        <v>310</v>
      </c>
    </row>
    <row r="114" spans="2:4" x14ac:dyDescent="0.25">
      <c r="B114" s="1" t="s">
        <v>301</v>
      </c>
      <c r="D114" s="1" t="s">
        <v>312</v>
      </c>
    </row>
    <row r="115" spans="2:4" x14ac:dyDescent="0.25">
      <c r="B115" s="1" t="s">
        <v>303</v>
      </c>
      <c r="D115" s="1" t="s">
        <v>314</v>
      </c>
    </row>
    <row r="116" spans="2:4" x14ac:dyDescent="0.25">
      <c r="B116" s="1" t="s">
        <v>305</v>
      </c>
      <c r="D116" s="1" t="s">
        <v>316</v>
      </c>
    </row>
    <row r="117" spans="2:4" x14ac:dyDescent="0.25">
      <c r="B117" s="1" t="s">
        <v>307</v>
      </c>
      <c r="D117" s="1" t="s">
        <v>318</v>
      </c>
    </row>
    <row r="118" spans="2:4" x14ac:dyDescent="0.25">
      <c r="B118" s="1" t="s">
        <v>309</v>
      </c>
      <c r="D118" s="1" t="s">
        <v>320</v>
      </c>
    </row>
    <row r="119" spans="2:4" x14ac:dyDescent="0.25">
      <c r="B119" s="1" t="s">
        <v>311</v>
      </c>
      <c r="D119" s="1" t="s">
        <v>322</v>
      </c>
    </row>
    <row r="120" spans="2:4" x14ac:dyDescent="0.25">
      <c r="B120" s="1" t="s">
        <v>313</v>
      </c>
      <c r="D120" s="1" t="s">
        <v>324</v>
      </c>
    </row>
    <row r="121" spans="2:4" x14ac:dyDescent="0.25">
      <c r="B121" s="1" t="s">
        <v>315</v>
      </c>
      <c r="D121" s="1" t="s">
        <v>326</v>
      </c>
    </row>
    <row r="122" spans="2:4" x14ac:dyDescent="0.25">
      <c r="B122" s="1" t="s">
        <v>317</v>
      </c>
      <c r="D122" s="1" t="s">
        <v>228</v>
      </c>
    </row>
    <row r="123" spans="2:4" x14ac:dyDescent="0.25">
      <c r="B123" s="1" t="s">
        <v>319</v>
      </c>
      <c r="D123" s="1" t="s">
        <v>230</v>
      </c>
    </row>
    <row r="124" spans="2:4" x14ac:dyDescent="0.25">
      <c r="B124" s="1" t="s">
        <v>321</v>
      </c>
      <c r="D124" s="1" t="s">
        <v>232</v>
      </c>
    </row>
    <row r="125" spans="2:4" x14ac:dyDescent="0.25">
      <c r="B125" s="1" t="s">
        <v>323</v>
      </c>
      <c r="D125" s="1" t="s">
        <v>234</v>
      </c>
    </row>
    <row r="126" spans="2:4" x14ac:dyDescent="0.25">
      <c r="B126" s="1" t="s">
        <v>325</v>
      </c>
      <c r="D126" s="1" t="s">
        <v>236</v>
      </c>
    </row>
    <row r="127" spans="2:4" x14ac:dyDescent="0.25">
      <c r="B127" s="1" t="s">
        <v>327</v>
      </c>
      <c r="D127" s="1" t="s">
        <v>238</v>
      </c>
    </row>
    <row r="128" spans="2:4" x14ac:dyDescent="0.25">
      <c r="B128" s="1" t="s">
        <v>329</v>
      </c>
      <c r="D128" s="1" t="s">
        <v>240</v>
      </c>
    </row>
    <row r="129" spans="2:4" x14ac:dyDescent="0.25">
      <c r="B129" s="1" t="s">
        <v>331</v>
      </c>
      <c r="D129" s="1" t="s">
        <v>242</v>
      </c>
    </row>
    <row r="130" spans="2:4" x14ac:dyDescent="0.25">
      <c r="B130" s="1" t="s">
        <v>333</v>
      </c>
      <c r="D130" s="1" t="s">
        <v>244</v>
      </c>
    </row>
    <row r="131" spans="2:4" x14ac:dyDescent="0.25">
      <c r="B131" s="1" t="s">
        <v>335</v>
      </c>
      <c r="D131" s="1" t="s">
        <v>246</v>
      </c>
    </row>
    <row r="132" spans="2:4" x14ac:dyDescent="0.25">
      <c r="B132" s="1" t="s">
        <v>337</v>
      </c>
      <c r="D132" s="1" t="s">
        <v>328</v>
      </c>
    </row>
    <row r="133" spans="2:4" x14ac:dyDescent="0.25">
      <c r="B133" s="1" t="s">
        <v>339</v>
      </c>
      <c r="D133" s="1" t="s">
        <v>330</v>
      </c>
    </row>
    <row r="134" spans="2:4" x14ac:dyDescent="0.25">
      <c r="B134" s="1" t="s">
        <v>341</v>
      </c>
      <c r="D134" s="1" t="s">
        <v>332</v>
      </c>
    </row>
    <row r="135" spans="2:4" x14ac:dyDescent="0.25">
      <c r="B135" s="1" t="s">
        <v>343</v>
      </c>
      <c r="D135" s="1" t="s">
        <v>334</v>
      </c>
    </row>
    <row r="136" spans="2:4" x14ac:dyDescent="0.25">
      <c r="B136" s="1" t="s">
        <v>345</v>
      </c>
      <c r="D136" s="1" t="s">
        <v>336</v>
      </c>
    </row>
    <row r="137" spans="2:4" x14ac:dyDescent="0.25">
      <c r="B137" s="1" t="s">
        <v>481</v>
      </c>
      <c r="D137" s="1" t="s">
        <v>488</v>
      </c>
    </row>
    <row r="138" spans="2:4" x14ac:dyDescent="0.25">
      <c r="B138" s="1" t="s">
        <v>482</v>
      </c>
      <c r="D138" s="1" t="s">
        <v>490</v>
      </c>
    </row>
    <row r="139" spans="2:4" x14ac:dyDescent="0.25">
      <c r="B139" s="1" t="s">
        <v>483</v>
      </c>
      <c r="D139" s="1" t="s">
        <v>492</v>
      </c>
    </row>
    <row r="140" spans="2:4" x14ac:dyDescent="0.25">
      <c r="B140" s="1" t="s">
        <v>484</v>
      </c>
      <c r="D140" s="1" t="s">
        <v>494</v>
      </c>
    </row>
    <row r="141" spans="2:4" x14ac:dyDescent="0.25">
      <c r="B141" s="1" t="s">
        <v>485</v>
      </c>
      <c r="D141" s="1" t="s">
        <v>496</v>
      </c>
    </row>
    <row r="142" spans="2:4" x14ac:dyDescent="0.25">
      <c r="B142" s="1" t="s">
        <v>486</v>
      </c>
      <c r="D142" s="1" t="s">
        <v>498</v>
      </c>
    </row>
    <row r="143" spans="2:4" x14ac:dyDescent="0.25">
      <c r="B143" s="1" t="s">
        <v>487</v>
      </c>
      <c r="D143" s="1" t="s">
        <v>500</v>
      </c>
    </row>
    <row r="144" spans="2:4" x14ac:dyDescent="0.25">
      <c r="B144" s="1" t="s">
        <v>489</v>
      </c>
      <c r="D144" s="1" t="s">
        <v>502</v>
      </c>
    </row>
    <row r="145" spans="2:4" x14ac:dyDescent="0.25">
      <c r="B145" s="1" t="s">
        <v>491</v>
      </c>
      <c r="D145" s="1" t="s">
        <v>504</v>
      </c>
    </row>
    <row r="146" spans="2:4" x14ac:dyDescent="0.25">
      <c r="B146" s="1" t="s">
        <v>493</v>
      </c>
      <c r="D146" s="1" t="s">
        <v>506</v>
      </c>
    </row>
    <row r="147" spans="2:4" x14ac:dyDescent="0.25">
      <c r="B147" s="1" t="s">
        <v>495</v>
      </c>
      <c r="D147" s="1" t="s">
        <v>508</v>
      </c>
    </row>
    <row r="148" spans="2:4" x14ac:dyDescent="0.25">
      <c r="B148" s="1" t="s">
        <v>497</v>
      </c>
      <c r="D148" s="1" t="s">
        <v>510</v>
      </c>
    </row>
    <row r="149" spans="2:4" x14ac:dyDescent="0.25">
      <c r="B149" s="1" t="s">
        <v>499</v>
      </c>
      <c r="D149" s="1" t="s">
        <v>575</v>
      </c>
    </row>
    <row r="150" spans="2:4" x14ac:dyDescent="0.25">
      <c r="B150" s="1" t="s">
        <v>501</v>
      </c>
      <c r="D150" s="1" t="s">
        <v>576</v>
      </c>
    </row>
    <row r="151" spans="2:4" x14ac:dyDescent="0.25">
      <c r="B151" s="1" t="s">
        <v>503</v>
      </c>
      <c r="D151" s="1" t="s">
        <v>577</v>
      </c>
    </row>
    <row r="152" spans="2:4" x14ac:dyDescent="0.25">
      <c r="B152" s="1" t="s">
        <v>505</v>
      </c>
      <c r="D152" s="1" t="s">
        <v>578</v>
      </c>
    </row>
    <row r="153" spans="2:4" x14ac:dyDescent="0.25">
      <c r="B153" s="1" t="s">
        <v>507</v>
      </c>
      <c r="D153" s="1" t="s">
        <v>579</v>
      </c>
    </row>
    <row r="154" spans="2:4" x14ac:dyDescent="0.25">
      <c r="B154" s="1" t="s">
        <v>509</v>
      </c>
      <c r="D154" s="1" t="s">
        <v>580</v>
      </c>
    </row>
    <row r="155" spans="2:4" x14ac:dyDescent="0.25">
      <c r="B155" s="1" t="s">
        <v>347</v>
      </c>
      <c r="D155" s="1" t="s">
        <v>348</v>
      </c>
    </row>
    <row r="156" spans="2:4" x14ac:dyDescent="0.25">
      <c r="B156" s="1" t="s">
        <v>349</v>
      </c>
      <c r="D156" s="1" t="s">
        <v>350</v>
      </c>
    </row>
    <row r="157" spans="2:4" x14ac:dyDescent="0.25">
      <c r="B157" s="1" t="s">
        <v>351</v>
      </c>
      <c r="D157" s="1" t="s">
        <v>352</v>
      </c>
    </row>
    <row r="158" spans="2:4" x14ac:dyDescent="0.25">
      <c r="B158" s="1" t="s">
        <v>353</v>
      </c>
      <c r="D158" s="1" t="s">
        <v>354</v>
      </c>
    </row>
    <row r="159" spans="2:4" x14ac:dyDescent="0.25">
      <c r="B159" s="1" t="s">
        <v>355</v>
      </c>
      <c r="D159" s="1" t="s">
        <v>356</v>
      </c>
    </row>
    <row r="160" spans="2:4" x14ac:dyDescent="0.25">
      <c r="B160" s="1" t="s">
        <v>374</v>
      </c>
      <c r="D160" s="1" t="s">
        <v>552</v>
      </c>
    </row>
    <row r="161" spans="2:4" x14ac:dyDescent="0.25">
      <c r="B161" s="1" t="s">
        <v>357</v>
      </c>
      <c r="D161" s="1" t="s">
        <v>559</v>
      </c>
    </row>
    <row r="162" spans="2:4" x14ac:dyDescent="0.25">
      <c r="B162" s="1" t="s">
        <v>358</v>
      </c>
      <c r="D162" s="1" t="s">
        <v>561</v>
      </c>
    </row>
    <row r="163" spans="2:4" x14ac:dyDescent="0.25">
      <c r="B163" s="1" t="s">
        <v>359</v>
      </c>
      <c r="D163" s="1" t="s">
        <v>562</v>
      </c>
    </row>
    <row r="164" spans="2:4" x14ac:dyDescent="0.25">
      <c r="B164" s="1" t="s">
        <v>360</v>
      </c>
      <c r="D164" s="1" t="s">
        <v>563</v>
      </c>
    </row>
    <row r="165" spans="2:4" x14ac:dyDescent="0.25">
      <c r="B165" s="1" t="s">
        <v>514</v>
      </c>
      <c r="D165" s="1" t="s">
        <v>564</v>
      </c>
    </row>
    <row r="166" spans="2:4" x14ac:dyDescent="0.25">
      <c r="B166" s="1" t="s">
        <v>515</v>
      </c>
      <c r="D166" s="1" t="s">
        <v>565</v>
      </c>
    </row>
    <row r="167" spans="2:4" x14ac:dyDescent="0.25">
      <c r="B167" s="1" t="s">
        <v>516</v>
      </c>
      <c r="D167" s="1" t="s">
        <v>566</v>
      </c>
    </row>
    <row r="168" spans="2:4" x14ac:dyDescent="0.25">
      <c r="B168" s="1" t="s">
        <v>603</v>
      </c>
      <c r="D168" s="1" t="s">
        <v>604</v>
      </c>
    </row>
    <row r="169" spans="2:4" x14ac:dyDescent="0.25">
      <c r="B169" s="1" t="s">
        <v>605</v>
      </c>
      <c r="D169" s="1" t="s">
        <v>606</v>
      </c>
    </row>
    <row r="170" spans="2:4" x14ac:dyDescent="0.25">
      <c r="B170" s="1" t="s">
        <v>607</v>
      </c>
      <c r="D170" s="1" t="s">
        <v>569</v>
      </c>
    </row>
    <row r="171" spans="2:4" x14ac:dyDescent="0.25">
      <c r="B171" s="1" t="s">
        <v>608</v>
      </c>
      <c r="D171" s="1" t="s">
        <v>609</v>
      </c>
    </row>
    <row r="172" spans="2:4" x14ac:dyDescent="0.25">
      <c r="B172" s="1" t="s">
        <v>610</v>
      </c>
      <c r="D172" s="1" t="s">
        <v>567</v>
      </c>
    </row>
    <row r="173" spans="2:4" x14ac:dyDescent="0.25">
      <c r="B173" s="1" t="s">
        <v>361</v>
      </c>
      <c r="D173" s="1" t="s">
        <v>568</v>
      </c>
    </row>
    <row r="174" spans="2:4" x14ac:dyDescent="0.25">
      <c r="B174" s="1" t="s">
        <v>611</v>
      </c>
      <c r="D174" s="1" t="s">
        <v>612</v>
      </c>
    </row>
    <row r="175" spans="2:4" x14ac:dyDescent="0.25">
      <c r="B175" s="1" t="s">
        <v>613</v>
      </c>
      <c r="D175" s="1" t="s">
        <v>571</v>
      </c>
    </row>
    <row r="176" spans="2:4" x14ac:dyDescent="0.25">
      <c r="B176" s="1" t="s">
        <v>614</v>
      </c>
      <c r="D176" s="1" t="s">
        <v>615</v>
      </c>
    </row>
    <row r="177" spans="2:4" x14ac:dyDescent="0.25">
      <c r="B177" s="1" t="s">
        <v>616</v>
      </c>
      <c r="D177" s="1" t="s">
        <v>570</v>
      </c>
    </row>
    <row r="178" spans="2:4" x14ac:dyDescent="0.25">
      <c r="B178" s="1" t="s">
        <v>617</v>
      </c>
      <c r="D178" s="1" t="s">
        <v>572</v>
      </c>
    </row>
    <row r="179" spans="2:4" x14ac:dyDescent="0.25">
      <c r="B179" s="1" t="s">
        <v>618</v>
      </c>
      <c r="D179" s="1" t="s">
        <v>619</v>
      </c>
    </row>
    <row r="180" spans="2:4" x14ac:dyDescent="0.25">
      <c r="B180" s="1" t="s">
        <v>620</v>
      </c>
      <c r="D180" s="1" t="s">
        <v>621</v>
      </c>
    </row>
    <row r="181" spans="2:4" x14ac:dyDescent="0.25">
      <c r="B181" s="1" t="s">
        <v>362</v>
      </c>
      <c r="D181" s="1" t="s">
        <v>573</v>
      </c>
    </row>
    <row r="182" spans="2:4" x14ac:dyDescent="0.25">
      <c r="B182" s="1" t="s">
        <v>363</v>
      </c>
      <c r="D182" s="1" t="s">
        <v>574</v>
      </c>
    </row>
    <row r="183" spans="2:4" x14ac:dyDescent="0.25">
      <c r="B183" s="1" t="s">
        <v>189</v>
      </c>
      <c r="D183" s="1" t="s">
        <v>462</v>
      </c>
    </row>
    <row r="184" spans="2:4" x14ac:dyDescent="0.25">
      <c r="B184" s="1" t="s">
        <v>364</v>
      </c>
      <c r="D184" s="1" t="s">
        <v>471</v>
      </c>
    </row>
    <row r="185" spans="2:4" x14ac:dyDescent="0.25">
      <c r="B185" s="1" t="s">
        <v>369</v>
      </c>
      <c r="D185" s="1" t="s">
        <v>476</v>
      </c>
    </row>
    <row r="186" spans="2:4" x14ac:dyDescent="0.25">
      <c r="B186" s="1" t="s">
        <v>190</v>
      </c>
      <c r="D186" s="1" t="s">
        <v>463</v>
      </c>
    </row>
    <row r="187" spans="2:4" x14ac:dyDescent="0.25">
      <c r="B187" s="1" t="s">
        <v>365</v>
      </c>
      <c r="D187" s="1" t="s">
        <v>472</v>
      </c>
    </row>
    <row r="188" spans="2:4" x14ac:dyDescent="0.25">
      <c r="B188" s="1" t="s">
        <v>370</v>
      </c>
      <c r="D188" s="1" t="s">
        <v>477</v>
      </c>
    </row>
    <row r="189" spans="2:4" x14ac:dyDescent="0.25">
      <c r="B189" s="1" t="s">
        <v>191</v>
      </c>
      <c r="D189" s="1" t="s">
        <v>464</v>
      </c>
    </row>
    <row r="190" spans="2:4" x14ac:dyDescent="0.25">
      <c r="B190" s="1" t="s">
        <v>366</v>
      </c>
      <c r="D190" s="1" t="s">
        <v>473</v>
      </c>
    </row>
    <row r="191" spans="2:4" x14ac:dyDescent="0.25">
      <c r="B191" s="1" t="s">
        <v>371</v>
      </c>
      <c r="D191" s="1" t="s">
        <v>478</v>
      </c>
    </row>
    <row r="192" spans="2:4" x14ac:dyDescent="0.25">
      <c r="B192" s="1" t="s">
        <v>193</v>
      </c>
      <c r="D192" s="1" t="s">
        <v>465</v>
      </c>
    </row>
    <row r="193" spans="2:4" x14ac:dyDescent="0.25">
      <c r="B193" s="1" t="s">
        <v>367</v>
      </c>
      <c r="D193" s="1" t="s">
        <v>474</v>
      </c>
    </row>
    <row r="194" spans="2:4" x14ac:dyDescent="0.25">
      <c r="B194" s="1" t="s">
        <v>372</v>
      </c>
      <c r="D194" s="1" t="s">
        <v>479</v>
      </c>
    </row>
    <row r="195" spans="2:4" x14ac:dyDescent="0.25">
      <c r="B195" s="1" t="s">
        <v>194</v>
      </c>
      <c r="D195" s="1" t="s">
        <v>466</v>
      </c>
    </row>
    <row r="196" spans="2:4" x14ac:dyDescent="0.25">
      <c r="B196" s="1" t="s">
        <v>368</v>
      </c>
      <c r="D196" s="1" t="s">
        <v>475</v>
      </c>
    </row>
    <row r="197" spans="2:4" x14ac:dyDescent="0.25">
      <c r="B197" s="1" t="s">
        <v>373</v>
      </c>
      <c r="D197" s="1" t="s">
        <v>480</v>
      </c>
    </row>
    <row r="198" spans="2:4" x14ac:dyDescent="0.25">
      <c r="B198" s="1" t="s">
        <v>375</v>
      </c>
      <c r="D198" s="1" t="s">
        <v>460</v>
      </c>
    </row>
    <row r="199" spans="2:4" x14ac:dyDescent="0.25">
      <c r="B199" s="1" t="s">
        <v>376</v>
      </c>
      <c r="D199" s="1" t="s">
        <v>467</v>
      </c>
    </row>
    <row r="200" spans="2:4" x14ac:dyDescent="0.25">
      <c r="B200" s="1" t="s">
        <v>377</v>
      </c>
      <c r="D200" s="1" t="s">
        <v>551</v>
      </c>
    </row>
    <row r="201" spans="2:4" x14ac:dyDescent="0.25">
      <c r="B201" s="1" t="s">
        <v>378</v>
      </c>
      <c r="D201" s="1" t="s">
        <v>558</v>
      </c>
    </row>
    <row r="202" spans="2:4" x14ac:dyDescent="0.25">
      <c r="B202" s="1" t="s">
        <v>379</v>
      </c>
      <c r="D202" s="1" t="s">
        <v>380</v>
      </c>
    </row>
    <row r="203" spans="2:4" x14ac:dyDescent="0.25">
      <c r="B203" s="1" t="s">
        <v>381</v>
      </c>
      <c r="D203" s="1" t="s">
        <v>560</v>
      </c>
    </row>
    <row r="204" spans="2:4" x14ac:dyDescent="0.25">
      <c r="B204" s="1" t="s">
        <v>382</v>
      </c>
      <c r="D204" s="1" t="s">
        <v>600</v>
      </c>
    </row>
    <row r="205" spans="2:4" x14ac:dyDescent="0.25">
      <c r="B205" s="1" t="s">
        <v>622</v>
      </c>
      <c r="D205" s="1" t="s">
        <v>623</v>
      </c>
    </row>
    <row r="206" spans="2:4" x14ac:dyDescent="0.25">
      <c r="B206" s="1" t="s">
        <v>624</v>
      </c>
      <c r="D206" s="1" t="s">
        <v>625</v>
      </c>
    </row>
    <row r="207" spans="2:4" x14ac:dyDescent="0.25">
      <c r="B207" s="1" t="s">
        <v>626</v>
      </c>
      <c r="D207" s="1" t="s">
        <v>627</v>
      </c>
    </row>
  </sheetData>
  <sheetProtection sheet="1" objects="1" scenarios="1"/>
  <sortState ref="I50:L207">
    <sortCondition ref="K50:K207"/>
  </sortState>
  <hyperlinks>
    <hyperlink ref="Q2" location="Anleitung!A1" display="zurück zu &quot;Anleitung&quot;" xr:uid="{00000000-0004-0000-0D00-000000000000}"/>
    <hyperlink ref="B45" r:id="rId1" xr:uid="{00000000-0004-0000-0D00-000001000000}"/>
  </hyperlinks>
  <pageMargins left="0.25" right="0.25" top="0.75" bottom="0.75" header="0.3" footer="0.3"/>
  <pageSetup paperSize="9" scale="57"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47"/>
  <sheetViews>
    <sheetView showGridLines="0" zoomScaleNormal="100" workbookViewId="0"/>
  </sheetViews>
  <sheetFormatPr baseColWidth="10" defaultColWidth="11.5546875" defaultRowHeight="13.8" x14ac:dyDescent="0.25"/>
  <cols>
    <col min="1" max="1" width="4.5546875" style="1" customWidth="1"/>
    <col min="2" max="2" width="16.88671875" style="1" customWidth="1"/>
    <col min="3" max="16384" width="11.5546875" style="1"/>
  </cols>
  <sheetData>
    <row r="2" spans="2:6" x14ac:dyDescent="0.25">
      <c r="B2" s="3" t="s">
        <v>182</v>
      </c>
      <c r="C2" s="5"/>
      <c r="D2" s="5"/>
      <c r="E2" s="5"/>
      <c r="F2" s="5"/>
    </row>
    <row r="3" spans="2:6" x14ac:dyDescent="0.25">
      <c r="B3" s="1" t="s">
        <v>29</v>
      </c>
      <c r="C3" s="1" t="s">
        <v>65</v>
      </c>
      <c r="D3" s="1" t="s">
        <v>183</v>
      </c>
    </row>
    <row r="4" spans="2:6" x14ac:dyDescent="0.25">
      <c r="B4" s="1" t="s">
        <v>184</v>
      </c>
      <c r="C4" s="1" t="s">
        <v>185</v>
      </c>
      <c r="D4" s="1" t="s">
        <v>186</v>
      </c>
    </row>
    <row r="5" spans="2:6" x14ac:dyDescent="0.25">
      <c r="B5" s="1" t="s">
        <v>187</v>
      </c>
      <c r="C5" s="1" t="s">
        <v>185</v>
      </c>
      <c r="D5" s="1" t="s">
        <v>188</v>
      </c>
    </row>
    <row r="7" spans="2:6" x14ac:dyDescent="0.25">
      <c r="B7" s="3" t="s">
        <v>196</v>
      </c>
      <c r="C7" s="5"/>
      <c r="D7" s="5"/>
      <c r="E7" s="5"/>
      <c r="F7" s="5"/>
    </row>
    <row r="8" spans="2:6" x14ac:dyDescent="0.25">
      <c r="B8" s="1" t="s">
        <v>86</v>
      </c>
    </row>
    <row r="9" spans="2:6" x14ac:dyDescent="0.25">
      <c r="B9" s="1" t="s">
        <v>33</v>
      </c>
    </row>
    <row r="11" spans="2:6" x14ac:dyDescent="0.25">
      <c r="B11" s="3" t="s">
        <v>44</v>
      </c>
      <c r="C11" s="5"/>
      <c r="D11" s="5"/>
      <c r="E11" s="5"/>
      <c r="F11" s="5"/>
    </row>
    <row r="12" spans="2:6" x14ac:dyDescent="0.25">
      <c r="B12" s="1" t="s">
        <v>45</v>
      </c>
    </row>
    <row r="13" spans="2:6" x14ac:dyDescent="0.25">
      <c r="B13" s="1" t="s">
        <v>47</v>
      </c>
    </row>
    <row r="14" spans="2:6" x14ac:dyDescent="0.25">
      <c r="B14" s="1" t="s">
        <v>46</v>
      </c>
    </row>
    <row r="16" spans="2:6" x14ac:dyDescent="0.25">
      <c r="B16" s="3" t="s">
        <v>48</v>
      </c>
      <c r="C16" s="5"/>
      <c r="D16" s="5"/>
      <c r="E16" s="5"/>
      <c r="F16" s="5"/>
    </row>
    <row r="17" spans="2:6" x14ac:dyDescent="0.25">
      <c r="B17" s="1" t="s">
        <v>189</v>
      </c>
    </row>
    <row r="18" spans="2:6" x14ac:dyDescent="0.25">
      <c r="B18" s="1" t="s">
        <v>190</v>
      </c>
      <c r="D18" s="1" t="s">
        <v>517</v>
      </c>
    </row>
    <row r="19" spans="2:6" x14ac:dyDescent="0.25">
      <c r="B19" s="1" t="s">
        <v>191</v>
      </c>
      <c r="D19" s="1" t="s">
        <v>192</v>
      </c>
    </row>
    <row r="20" spans="2:6" x14ac:dyDescent="0.25">
      <c r="B20" s="1" t="s">
        <v>193</v>
      </c>
    </row>
    <row r="21" spans="2:6" x14ac:dyDescent="0.25">
      <c r="B21" s="1" t="s">
        <v>194</v>
      </c>
    </row>
    <row r="23" spans="2:6" x14ac:dyDescent="0.25">
      <c r="B23" s="3" t="s">
        <v>195</v>
      </c>
      <c r="C23" s="5"/>
      <c r="D23" s="5"/>
      <c r="E23" s="5"/>
      <c r="F23" s="5"/>
    </row>
    <row r="24" spans="2:6" x14ac:dyDescent="0.25">
      <c r="B24" s="1" t="s">
        <v>49</v>
      </c>
      <c r="D24" s="1" t="s">
        <v>79</v>
      </c>
    </row>
    <row r="25" spans="2:6" x14ac:dyDescent="0.25">
      <c r="B25" s="1" t="s">
        <v>50</v>
      </c>
      <c r="D25" s="1" t="s">
        <v>175</v>
      </c>
    </row>
    <row r="26" spans="2:6" x14ac:dyDescent="0.25">
      <c r="B26" s="1" t="s">
        <v>51</v>
      </c>
      <c r="D26" s="1" t="s">
        <v>175</v>
      </c>
    </row>
    <row r="27" spans="2:6" x14ac:dyDescent="0.25">
      <c r="B27" s="1" t="s">
        <v>125</v>
      </c>
      <c r="D27" s="1" t="s">
        <v>177</v>
      </c>
    </row>
    <row r="29" spans="2:6" x14ac:dyDescent="0.25">
      <c r="B29" s="3" t="s">
        <v>518</v>
      </c>
      <c r="C29" s="3"/>
      <c r="D29" s="5"/>
      <c r="E29" s="5"/>
      <c r="F29" s="5"/>
    </row>
    <row r="30" spans="2:6" x14ac:dyDescent="0.25">
      <c r="B30" s="1" t="s">
        <v>520</v>
      </c>
    </row>
    <row r="31" spans="2:6" x14ac:dyDescent="0.25">
      <c r="B31" s="1" t="s">
        <v>522</v>
      </c>
    </row>
    <row r="33" spans="2:6" x14ac:dyDescent="0.25">
      <c r="B33" s="3" t="s">
        <v>519</v>
      </c>
      <c r="C33" s="3"/>
      <c r="D33" s="5"/>
      <c r="E33" s="5"/>
      <c r="F33" s="5"/>
    </row>
    <row r="34" spans="2:6" x14ac:dyDescent="0.25">
      <c r="B34" s="1" t="s">
        <v>584</v>
      </c>
    </row>
    <row r="35" spans="2:6" x14ac:dyDescent="0.25">
      <c r="B35" s="1" t="s">
        <v>530</v>
      </c>
    </row>
    <row r="36" spans="2:6" x14ac:dyDescent="0.25">
      <c r="B36" s="1" t="s">
        <v>531</v>
      </c>
    </row>
    <row r="37" spans="2:6" x14ac:dyDescent="0.25">
      <c r="B37" s="1" t="s">
        <v>532</v>
      </c>
    </row>
    <row r="38" spans="2:6" x14ac:dyDescent="0.25">
      <c r="B38" s="1" t="s">
        <v>585</v>
      </c>
    </row>
    <row r="40" spans="2:6" x14ac:dyDescent="0.25">
      <c r="B40" s="3" t="s">
        <v>534</v>
      </c>
      <c r="C40" s="3"/>
      <c r="D40" s="5"/>
      <c r="E40" s="5"/>
      <c r="F40" s="5"/>
    </row>
    <row r="41" spans="2:6" ht="27.6" x14ac:dyDescent="0.25">
      <c r="B41" s="385" t="s">
        <v>535</v>
      </c>
    </row>
    <row r="42" spans="2:6" ht="27.6" x14ac:dyDescent="0.25">
      <c r="B42" s="385" t="s">
        <v>536</v>
      </c>
    </row>
    <row r="43" spans="2:6" ht="27.6" x14ac:dyDescent="0.25">
      <c r="B43" s="385" t="s">
        <v>537</v>
      </c>
    </row>
    <row r="45" spans="2:6" x14ac:dyDescent="0.25">
      <c r="B45" s="3" t="s">
        <v>129</v>
      </c>
      <c r="C45" s="5"/>
      <c r="D45" s="5"/>
      <c r="E45" s="5"/>
      <c r="F45" s="5"/>
    </row>
    <row r="46" spans="2:6" x14ac:dyDescent="0.25">
      <c r="B46" s="12" t="s">
        <v>397</v>
      </c>
    </row>
    <row r="47" spans="2:6" x14ac:dyDescent="0.25">
      <c r="B47" s="12" t="s">
        <v>398</v>
      </c>
    </row>
  </sheetData>
  <sheetProtection sheet="1" objects="1" scenarios="1"/>
  <pageMargins left="0.7" right="0.7" top="0.78740157499999996" bottom="0.78740157499999996"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E28"/>
  <sheetViews>
    <sheetView showGridLines="0" workbookViewId="0"/>
  </sheetViews>
  <sheetFormatPr baseColWidth="10" defaultColWidth="11.5546875" defaultRowHeight="11.4" x14ac:dyDescent="0.2"/>
  <cols>
    <col min="1" max="1" width="4.44140625" style="92" customWidth="1"/>
    <col min="2" max="2" width="22.88671875" style="92" customWidth="1"/>
    <col min="3" max="3" width="88.6640625" style="92" customWidth="1"/>
    <col min="4" max="16384" width="11.5546875" style="92"/>
  </cols>
  <sheetData>
    <row r="2" spans="2:5" ht="13.2" x14ac:dyDescent="0.25">
      <c r="B2" s="3" t="s">
        <v>383</v>
      </c>
      <c r="C2" s="132"/>
      <c r="E2" s="106" t="s">
        <v>20</v>
      </c>
    </row>
    <row r="4" spans="2:5" s="275" customFormat="1" x14ac:dyDescent="0.2">
      <c r="B4" s="275" t="s">
        <v>448</v>
      </c>
      <c r="C4" s="275" t="s">
        <v>384</v>
      </c>
    </row>
    <row r="5" spans="2:5" s="275" customFormat="1" x14ac:dyDescent="0.2">
      <c r="C5" s="276" t="s">
        <v>385</v>
      </c>
    </row>
    <row r="6" spans="2:5" s="275" customFormat="1" x14ac:dyDescent="0.2">
      <c r="B6" s="275" t="s">
        <v>418</v>
      </c>
      <c r="C6" s="275" t="s">
        <v>417</v>
      </c>
    </row>
    <row r="7" spans="2:5" s="275" customFormat="1" x14ac:dyDescent="0.2">
      <c r="C7" s="276" t="s">
        <v>416</v>
      </c>
    </row>
    <row r="8" spans="2:5" s="275" customFormat="1" x14ac:dyDescent="0.2">
      <c r="B8" s="275" t="s">
        <v>443</v>
      </c>
      <c r="C8" s="270" t="s">
        <v>444</v>
      </c>
    </row>
    <row r="9" spans="2:5" s="275" customFormat="1" x14ac:dyDescent="0.2">
      <c r="C9" s="276" t="s">
        <v>386</v>
      </c>
    </row>
    <row r="10" spans="2:5" s="275" customFormat="1" ht="22.95" customHeight="1" x14ac:dyDescent="0.2">
      <c r="B10" s="277" t="s">
        <v>387</v>
      </c>
      <c r="C10" s="270" t="s">
        <v>388</v>
      </c>
    </row>
    <row r="11" spans="2:5" s="275" customFormat="1" x14ac:dyDescent="0.2">
      <c r="B11" s="270"/>
      <c r="C11" s="276" t="s">
        <v>389</v>
      </c>
    </row>
    <row r="12" spans="2:5" s="275" customFormat="1" ht="22.8" x14ac:dyDescent="0.2">
      <c r="B12" s="278" t="s">
        <v>136</v>
      </c>
      <c r="C12" s="275" t="s">
        <v>390</v>
      </c>
    </row>
    <row r="13" spans="2:5" s="275" customFormat="1" x14ac:dyDescent="0.2">
      <c r="C13" s="276" t="s">
        <v>391</v>
      </c>
    </row>
    <row r="14" spans="2:5" s="275" customFormat="1" x14ac:dyDescent="0.2">
      <c r="B14" s="275" t="s">
        <v>445</v>
      </c>
      <c r="C14" s="275" t="s">
        <v>447</v>
      </c>
    </row>
    <row r="15" spans="2:5" s="275" customFormat="1" x14ac:dyDescent="0.2">
      <c r="C15" s="276" t="s">
        <v>446</v>
      </c>
    </row>
    <row r="16" spans="2:5" s="275" customFormat="1" x14ac:dyDescent="0.2">
      <c r="B16" s="278" t="s">
        <v>130</v>
      </c>
      <c r="C16" s="275" t="s">
        <v>392</v>
      </c>
    </row>
    <row r="17" spans="2:3" s="275" customFormat="1" ht="22.8" x14ac:dyDescent="0.2">
      <c r="C17" s="276" t="s">
        <v>393</v>
      </c>
    </row>
    <row r="18" spans="2:3" s="275" customFormat="1" x14ac:dyDescent="0.2">
      <c r="B18" s="275" t="s">
        <v>451</v>
      </c>
      <c r="C18" s="275" t="s">
        <v>450</v>
      </c>
    </row>
    <row r="19" spans="2:3" s="275" customFormat="1" x14ac:dyDescent="0.2">
      <c r="C19" s="276" t="s">
        <v>449</v>
      </c>
    </row>
    <row r="20" spans="2:3" s="275" customFormat="1" x14ac:dyDescent="0.2">
      <c r="B20" s="275" t="s">
        <v>394</v>
      </c>
      <c r="C20" s="275" t="s">
        <v>395</v>
      </c>
    </row>
    <row r="21" spans="2:3" s="275" customFormat="1" x14ac:dyDescent="0.2">
      <c r="C21" s="276" t="s">
        <v>396</v>
      </c>
    </row>
    <row r="22" spans="2:3" s="275" customFormat="1" x14ac:dyDescent="0.2">
      <c r="B22" s="275" t="s">
        <v>423</v>
      </c>
      <c r="C22" s="275" t="s">
        <v>424</v>
      </c>
    </row>
    <row r="23" spans="2:3" s="275" customFormat="1" x14ac:dyDescent="0.2">
      <c r="C23" s="276" t="s">
        <v>422</v>
      </c>
    </row>
    <row r="24" spans="2:3" s="275" customFormat="1" x14ac:dyDescent="0.2">
      <c r="B24" s="275" t="s">
        <v>412</v>
      </c>
      <c r="C24" s="275" t="s">
        <v>401</v>
      </c>
    </row>
    <row r="25" spans="2:3" s="275" customFormat="1" ht="22.8" x14ac:dyDescent="0.2">
      <c r="C25" s="276" t="s">
        <v>399</v>
      </c>
    </row>
    <row r="26" spans="2:3" s="275" customFormat="1" x14ac:dyDescent="0.2">
      <c r="B26" s="275" t="s">
        <v>413</v>
      </c>
      <c r="C26" s="275" t="s">
        <v>415</v>
      </c>
    </row>
    <row r="27" spans="2:3" s="275" customFormat="1" x14ac:dyDescent="0.2">
      <c r="C27" s="269" t="s">
        <v>414</v>
      </c>
    </row>
    <row r="28" spans="2:3" s="275" customFormat="1" x14ac:dyDescent="0.2"/>
  </sheetData>
  <sheetProtection sheet="1" objects="1" scenarios="1"/>
  <hyperlinks>
    <hyperlink ref="C7" r:id="rId1" display="https://www.ifeu.de/methoden-tools/modelle/tremod/" xr:uid="{00000000-0004-0000-0E00-000001000000}"/>
    <hyperlink ref="C11" r:id="rId2" xr:uid="{00000000-0004-0000-0E00-000004000000}"/>
    <hyperlink ref="C9" r:id="rId3" xr:uid="{00000000-0004-0000-0E00-00000A000000}"/>
    <hyperlink ref="E2" location="Anleitung!A1" display="zurück zu &quot;Anleitung&quot;" xr:uid="{00000000-0004-0000-0E00-00000E000000}"/>
    <hyperlink ref="C5" r:id="rId4" location="seit-2021" xr:uid="{00000000-0004-0000-0E00-000006000000}"/>
    <hyperlink ref="C7" r:id="rId5" xr:uid="{00000000-0004-0000-0E00-00000D000000}"/>
    <hyperlink ref="C17" r:id="rId6" xr:uid="{9358B48D-96B7-4028-8449-E1D2AE260611}"/>
    <hyperlink ref="C21" r:id="rId7" xr:uid="{00000000-0004-0000-0E00-00000C000000}"/>
    <hyperlink ref="C13" r:id="rId8" xr:uid="{00000000-0004-0000-0E00-000000000000}"/>
    <hyperlink ref="C25" r:id="rId9" location="klimakosten-von-treibhausgas-emissionen" xr:uid="{B3B9AAF4-2EEA-4E52-899D-C960C9585C41}"/>
    <hyperlink ref="C27" r:id="rId10" xr:uid="{68879F68-CC2A-4083-8AC6-87BBA5367FAB}"/>
    <hyperlink ref="C23" r:id="rId11" xr:uid="{7F88534A-3644-42D1-A0B5-26F368F4C080}"/>
    <hyperlink ref="C15" r:id="rId12" xr:uid="{00000000-0004-0000-0E00-000008000000}"/>
    <hyperlink ref="C19" r:id="rId13" xr:uid="{00000000-0004-0000-0E00-000007000000}"/>
  </hyperlinks>
  <pageMargins left="0.25" right="0.25" top="0.75" bottom="0.75" header="0.3" footer="0.3"/>
  <pageSetup paperSize="9" orientation="portrait" r:id="rId14"/>
  <drawing r:id="rId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A2:N33"/>
  <sheetViews>
    <sheetView showGridLines="0" zoomScaleNormal="100" workbookViewId="0"/>
  </sheetViews>
  <sheetFormatPr baseColWidth="10" defaultColWidth="11.5546875" defaultRowHeight="13.8" x14ac:dyDescent="0.25"/>
  <cols>
    <col min="1" max="1" width="4.6640625" style="1" customWidth="1"/>
    <col min="2" max="2" width="43.44140625" style="1" customWidth="1"/>
    <col min="3" max="3" width="12.109375" style="1" customWidth="1"/>
    <col min="4" max="4" width="21.109375" style="1" customWidth="1"/>
    <col min="5" max="5" width="26.109375" style="1" customWidth="1"/>
    <col min="6" max="6" width="7.88671875" style="1" customWidth="1"/>
    <col min="7" max="7" width="15.33203125" style="1" bestFit="1" customWidth="1"/>
    <col min="8" max="8" width="13.109375" style="1" customWidth="1"/>
    <col min="9" max="16384" width="11.5546875" style="1"/>
  </cols>
  <sheetData>
    <row r="2" spans="1:9" x14ac:dyDescent="0.25">
      <c r="B2" s="2" t="s">
        <v>427</v>
      </c>
      <c r="I2" s="106" t="s">
        <v>20</v>
      </c>
    </row>
    <row r="4" spans="1:9" x14ac:dyDescent="0.25">
      <c r="B4" s="154" t="s">
        <v>21</v>
      </c>
      <c r="C4" s="3"/>
      <c r="D4" s="3"/>
      <c r="E4" s="3"/>
      <c r="F4" s="3"/>
      <c r="G4" s="3"/>
      <c r="H4" s="3"/>
    </row>
    <row r="6" spans="1:9" x14ac:dyDescent="0.25">
      <c r="B6" s="1" t="s">
        <v>442</v>
      </c>
      <c r="C6" s="409" t="s">
        <v>586</v>
      </c>
      <c r="D6" s="410"/>
      <c r="E6" s="410"/>
      <c r="F6" s="410"/>
      <c r="G6" s="410"/>
      <c r="H6" s="411"/>
    </row>
    <row r="7" spans="1:9" x14ac:dyDescent="0.25">
      <c r="C7" s="412"/>
      <c r="D7" s="413"/>
      <c r="E7" s="413"/>
      <c r="F7" s="413"/>
      <c r="G7" s="413"/>
      <c r="H7" s="414"/>
    </row>
    <row r="8" spans="1:9" x14ac:dyDescent="0.25">
      <c r="C8" s="415"/>
      <c r="D8" s="416"/>
      <c r="E8" s="416"/>
      <c r="F8" s="416"/>
      <c r="G8" s="416"/>
      <c r="H8" s="417"/>
    </row>
    <row r="9" spans="1:9" x14ac:dyDescent="0.25">
      <c r="B9" s="7" t="s">
        <v>22</v>
      </c>
      <c r="C9" s="418" t="s">
        <v>23</v>
      </c>
      <c r="D9" s="419"/>
      <c r="E9" s="419"/>
      <c r="F9" s="419"/>
      <c r="G9" s="419"/>
      <c r="H9" s="420"/>
    </row>
    <row r="10" spans="1:9" x14ac:dyDescent="0.25">
      <c r="B10" s="1" t="s">
        <v>24</v>
      </c>
      <c r="C10" s="418" t="s">
        <v>25</v>
      </c>
      <c r="D10" s="419"/>
      <c r="E10" s="419"/>
      <c r="F10" s="419"/>
      <c r="G10" s="419"/>
      <c r="H10" s="420"/>
    </row>
    <row r="11" spans="1:9" x14ac:dyDescent="0.25">
      <c r="B11" s="1" t="s">
        <v>26</v>
      </c>
      <c r="C11" s="150">
        <v>45588</v>
      </c>
      <c r="D11" s="55"/>
      <c r="E11" s="55"/>
      <c r="F11" s="55"/>
      <c r="G11" s="55"/>
      <c r="H11" s="55"/>
    </row>
    <row r="12" spans="1:9" x14ac:dyDescent="0.25">
      <c r="C12" s="169"/>
      <c r="D12" s="55"/>
      <c r="E12" s="55"/>
      <c r="F12" s="55"/>
      <c r="G12" s="55"/>
      <c r="H12" s="55"/>
    </row>
    <row r="13" spans="1:9" ht="14.4" customHeight="1" x14ac:dyDescent="0.25">
      <c r="A13" s="404" t="s">
        <v>11</v>
      </c>
      <c r="B13" s="1" t="s">
        <v>581</v>
      </c>
      <c r="C13" s="406" t="s">
        <v>522</v>
      </c>
      <c r="D13" s="407"/>
      <c r="E13" s="55"/>
      <c r="F13" s="55"/>
      <c r="G13" s="55"/>
      <c r="H13" s="55"/>
    </row>
    <row r="14" spans="1:9" ht="13.8" customHeight="1" x14ac:dyDescent="0.25">
      <c r="A14" s="404"/>
      <c r="B14" s="1" t="s">
        <v>583</v>
      </c>
      <c r="C14" s="406" t="s">
        <v>530</v>
      </c>
      <c r="D14" s="407"/>
      <c r="E14" s="55"/>
      <c r="F14" s="55"/>
      <c r="G14" s="55"/>
      <c r="H14" s="55"/>
    </row>
    <row r="15" spans="1:9" x14ac:dyDescent="0.25">
      <c r="C15" s="55"/>
      <c r="D15" s="55"/>
      <c r="E15" s="55"/>
      <c r="F15" s="55"/>
      <c r="G15" s="55"/>
      <c r="H15" s="55"/>
    </row>
    <row r="16" spans="1:9" x14ac:dyDescent="0.25">
      <c r="B16" s="1" t="s">
        <v>428</v>
      </c>
      <c r="C16" s="152">
        <v>25000</v>
      </c>
      <c r="D16" s="55" t="s">
        <v>27</v>
      </c>
      <c r="E16" s="55"/>
      <c r="F16" s="55"/>
      <c r="G16" s="55"/>
      <c r="H16" s="55"/>
    </row>
    <row r="17" spans="1:14" x14ac:dyDescent="0.25">
      <c r="C17" s="55"/>
      <c r="D17" s="55"/>
      <c r="E17" s="55"/>
      <c r="F17" s="55"/>
      <c r="G17" s="55"/>
      <c r="H17" s="55"/>
    </row>
    <row r="18" spans="1:14" x14ac:dyDescent="0.25">
      <c r="B18" s="1" t="s">
        <v>28</v>
      </c>
      <c r="C18" s="153" t="s">
        <v>29</v>
      </c>
      <c r="D18" s="55"/>
      <c r="E18" s="55"/>
      <c r="F18" s="55"/>
      <c r="G18" s="55"/>
      <c r="H18" s="55"/>
    </row>
    <row r="19" spans="1:14" x14ac:dyDescent="0.25">
      <c r="C19" s="55"/>
      <c r="D19" s="55"/>
      <c r="E19" s="55"/>
      <c r="F19" s="55"/>
      <c r="G19" s="55"/>
      <c r="H19" s="55"/>
    </row>
    <row r="20" spans="1:14" x14ac:dyDescent="0.25">
      <c r="B20" s="298" t="s">
        <v>409</v>
      </c>
      <c r="C20" s="151">
        <v>2024</v>
      </c>
      <c r="D20" s="55"/>
      <c r="E20" s="55"/>
      <c r="F20" s="55"/>
      <c r="G20" s="55"/>
      <c r="H20" s="55"/>
    </row>
    <row r="21" spans="1:14" x14ac:dyDescent="0.25">
      <c r="B21" s="297"/>
      <c r="C21" s="55"/>
      <c r="D21" s="55"/>
      <c r="E21" s="55"/>
      <c r="F21" s="55"/>
      <c r="G21" s="55"/>
      <c r="H21" s="55"/>
    </row>
    <row r="22" spans="1:14" x14ac:dyDescent="0.25">
      <c r="B22" s="7" t="s">
        <v>30</v>
      </c>
      <c r="C22" s="151">
        <v>7</v>
      </c>
      <c r="D22" s="55" t="s">
        <v>31</v>
      </c>
      <c r="E22" s="55"/>
      <c r="F22" s="55"/>
      <c r="G22" s="55"/>
      <c r="H22" s="55"/>
    </row>
    <row r="24" spans="1:14" ht="14.4" x14ac:dyDescent="0.25">
      <c r="A24" s="97" t="s">
        <v>11</v>
      </c>
      <c r="B24" s="408" t="s">
        <v>32</v>
      </c>
      <c r="C24" s="405" t="s">
        <v>33</v>
      </c>
      <c r="D24" s="405"/>
    </row>
    <row r="25" spans="1:14" x14ac:dyDescent="0.25">
      <c r="B25" s="408"/>
    </row>
    <row r="26" spans="1:14" x14ac:dyDescent="0.25">
      <c r="B26" s="176"/>
    </row>
    <row r="27" spans="1:14" ht="16.2" x14ac:dyDescent="0.35">
      <c r="A27" s="97" t="s">
        <v>11</v>
      </c>
      <c r="B27" s="176" t="s">
        <v>34</v>
      </c>
      <c r="C27" s="153" t="s">
        <v>398</v>
      </c>
      <c r="D27" s="1" t="s">
        <v>35</v>
      </c>
      <c r="E27" s="1" t="s">
        <v>408</v>
      </c>
      <c r="F27" s="274">
        <f>Grunddaten!G46</f>
        <v>0</v>
      </c>
      <c r="G27" s="1" t="s">
        <v>35</v>
      </c>
    </row>
    <row r="29" spans="1:14" x14ac:dyDescent="0.25">
      <c r="B29" s="154" t="s">
        <v>631</v>
      </c>
      <c r="C29" s="4"/>
      <c r="D29" s="4"/>
      <c r="E29" s="4"/>
      <c r="F29" s="3"/>
      <c r="G29" s="3"/>
      <c r="H29" s="3"/>
    </row>
    <row r="30" spans="1:14" x14ac:dyDescent="0.25">
      <c r="C30" s="10"/>
      <c r="D30" s="10"/>
      <c r="F30" s="10"/>
      <c r="G30" s="10"/>
      <c r="H30" s="11"/>
      <c r="I30" s="8"/>
      <c r="J30" s="8"/>
      <c r="K30" s="8"/>
      <c r="L30" s="8"/>
      <c r="M30" s="7"/>
      <c r="N30" s="7"/>
    </row>
    <row r="31" spans="1:14" x14ac:dyDescent="0.25">
      <c r="B31" s="170" t="s">
        <v>36</v>
      </c>
      <c r="C31" s="10"/>
      <c r="D31" s="13" t="s">
        <v>37</v>
      </c>
      <c r="F31" s="10"/>
      <c r="G31" s="10"/>
      <c r="I31" s="7"/>
      <c r="J31" s="146" t="s">
        <v>38</v>
      </c>
      <c r="K31" s="8"/>
      <c r="L31" s="8"/>
      <c r="M31" s="7"/>
      <c r="N31" s="7"/>
    </row>
    <row r="32" spans="1:14" ht="14.4" x14ac:dyDescent="0.25">
      <c r="A32" s="97" t="s">
        <v>11</v>
      </c>
      <c r="B32" s="1" t="s">
        <v>39</v>
      </c>
      <c r="C32" s="171">
        <v>50</v>
      </c>
      <c r="D32" s="242"/>
      <c r="E32" s="9" t="s">
        <v>40</v>
      </c>
      <c r="F32" s="172"/>
      <c r="G32" s="173"/>
      <c r="I32" s="7"/>
      <c r="J32" s="146">
        <f>IF(ISNUMBER(D32),D32,C32)</f>
        <v>50</v>
      </c>
      <c r="K32" s="8"/>
      <c r="L32" s="8"/>
      <c r="M32" s="7"/>
      <c r="N32" s="7"/>
    </row>
    <row r="33" spans="2:14" x14ac:dyDescent="0.25">
      <c r="B33" s="1" t="s">
        <v>41</v>
      </c>
      <c r="C33" s="10">
        <f>100-J32</f>
        <v>50</v>
      </c>
      <c r="D33" s="10"/>
      <c r="F33" s="10"/>
      <c r="G33" s="10"/>
      <c r="I33" s="7"/>
      <c r="J33" s="7"/>
      <c r="K33" s="7"/>
      <c r="L33" s="7"/>
      <c r="M33" s="7"/>
      <c r="N33" s="7"/>
    </row>
  </sheetData>
  <sheetProtection sheet="1" objects="1" scenarios="1"/>
  <mergeCells count="8">
    <mergeCell ref="A13:A14"/>
    <mergeCell ref="C24:D24"/>
    <mergeCell ref="C14:D14"/>
    <mergeCell ref="B24:B25"/>
    <mergeCell ref="C6:H8"/>
    <mergeCell ref="C9:H9"/>
    <mergeCell ref="C10:H10"/>
    <mergeCell ref="C13:D13"/>
  </mergeCells>
  <conditionalFormatting sqref="A25:A26 B24:D24 C25:D26 D27">
    <cfRule type="expression" dxfId="103" priority="6">
      <formula>$C$18&lt;&gt;"Kauf"</formula>
    </cfRule>
  </conditionalFormatting>
  <conditionalFormatting sqref="A24">
    <cfRule type="expression" dxfId="102" priority="5">
      <formula>$C$18&lt;&gt;"Kauf"</formula>
    </cfRule>
  </conditionalFormatting>
  <conditionalFormatting sqref="G27">
    <cfRule type="expression" dxfId="101" priority="4">
      <formula>$C$18&lt;&gt;"Kauf"</formula>
    </cfRule>
  </conditionalFormatting>
  <conditionalFormatting sqref="B14:D14">
    <cfRule type="expression" dxfId="100" priority="1">
      <formula>Laderaum="Höhe ≥ 1,4 m oder Länge ≥ 3,0 m"</formula>
    </cfRule>
  </conditionalFormatting>
  <dataValidations count="2">
    <dataValidation type="list" allowBlank="1" showInputMessage="1" showErrorMessage="1" sqref="C24:D24" xr:uid="{00000000-0002-0000-0100-000000000000}">
      <formula1>KaufpreisRechList</formula1>
    </dataValidation>
    <dataValidation type="list" allowBlank="1" showInputMessage="1" showErrorMessage="1" sqref="C27" xr:uid="{00000000-0002-0000-0100-000002000000}">
      <formula1>KostTHGList</formula1>
    </dataValidation>
  </dataValidations>
  <hyperlinks>
    <hyperlink ref="I2" location="Anleitung!A1" display="zurück zu &quot;Anleitung&quot;" xr:uid="{00000000-0004-0000-0100-000000000000}"/>
  </hyperlinks>
  <pageMargins left="0.7" right="0.7" top="0.78740157499999996" bottom="0.78740157499999996"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C57ADD3A-3CB2-4BEF-8244-0075E3EE693F}">
            <xm:f>ISBLANK(Grunddaten!$G$46)</xm:f>
            <x14:dxf>
              <font>
                <color theme="0"/>
              </font>
              <fill>
                <patternFill>
                  <bgColor theme="0"/>
                </patternFill>
              </fill>
            </x14:dxf>
          </x14:cfRule>
          <xm:sqref>E27:G27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Listen!$B$3:$B$5</xm:f>
          </x14:formula1>
          <xm:sqref>C18</xm:sqref>
        </x14:dataValidation>
        <x14:dataValidation type="list" allowBlank="1" showInputMessage="1" showErrorMessage="1" xr:uid="{D9B57807-8768-428E-81E6-9BB6C80304A8}">
          <x14:formula1>
            <xm:f>Listen!$B$30:$B$31</xm:f>
          </x14:formula1>
          <xm:sqref>C13:D13</xm:sqref>
        </x14:dataValidation>
        <x14:dataValidation type="list" allowBlank="1" showInputMessage="1" showErrorMessage="1" xr:uid="{4FDE8645-EE11-4702-B756-6FC79F36F31C}">
          <x14:formula1>
            <xm:f>Listen!$B$34:$B$38</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B1:R33"/>
  <sheetViews>
    <sheetView showGridLines="0" tabSelected="1" zoomScaleNormal="100" workbookViewId="0"/>
  </sheetViews>
  <sheetFormatPr baseColWidth="10" defaultColWidth="11.5546875" defaultRowHeight="13.8" x14ac:dyDescent="0.25"/>
  <cols>
    <col min="1" max="1" width="2.109375" style="1" customWidth="1"/>
    <col min="2" max="2" width="5.109375" style="1" customWidth="1"/>
    <col min="3" max="3" width="31.5546875" style="1" customWidth="1"/>
    <col min="4" max="4" width="18.44140625" style="1" customWidth="1"/>
    <col min="5" max="9" width="16.77734375" style="1" customWidth="1"/>
    <col min="10" max="10" width="3.33203125" style="1" customWidth="1"/>
    <col min="11" max="11" width="7.109375" style="7" customWidth="1"/>
    <col min="12" max="13" width="11.5546875" style="7"/>
    <col min="14" max="14" width="9.44140625" style="7" customWidth="1"/>
    <col min="15" max="15" width="16.44140625" style="1" customWidth="1"/>
    <col min="16" max="16384" width="11.5546875" style="1"/>
  </cols>
  <sheetData>
    <row r="1" spans="2:18" x14ac:dyDescent="0.25">
      <c r="J1" s="7"/>
      <c r="O1" s="7"/>
      <c r="P1" s="7"/>
      <c r="Q1" s="7"/>
      <c r="R1" s="7"/>
    </row>
    <row r="2" spans="2:18" x14ac:dyDescent="0.25">
      <c r="C2" s="2" t="s">
        <v>404</v>
      </c>
      <c r="D2" s="2"/>
      <c r="J2" s="7"/>
      <c r="K2" s="106" t="s">
        <v>20</v>
      </c>
      <c r="O2" s="7"/>
      <c r="P2" s="7"/>
      <c r="Q2" s="7"/>
      <c r="R2" s="7"/>
    </row>
    <row r="3" spans="2:18" x14ac:dyDescent="0.25">
      <c r="J3" s="7"/>
      <c r="O3" s="7"/>
      <c r="P3" s="7"/>
      <c r="Q3" s="7"/>
      <c r="R3" s="7"/>
    </row>
    <row r="4" spans="2:18" x14ac:dyDescent="0.25">
      <c r="C4" s="155" t="s">
        <v>42</v>
      </c>
      <c r="D4" s="156"/>
      <c r="E4" s="156"/>
      <c r="F4" s="156"/>
      <c r="G4" s="156"/>
      <c r="H4" s="156"/>
      <c r="I4" s="157"/>
      <c r="J4" s="158"/>
      <c r="O4" s="7"/>
      <c r="P4" s="7"/>
      <c r="Q4" s="7"/>
      <c r="R4" s="7"/>
    </row>
    <row r="5" spans="2:18" x14ac:dyDescent="0.25">
      <c r="C5" s="159"/>
      <c r="D5" s="159"/>
      <c r="E5" s="160"/>
      <c r="F5" s="160"/>
      <c r="G5" s="160"/>
      <c r="H5" s="160"/>
      <c r="I5" s="160"/>
      <c r="J5" s="158"/>
      <c r="O5" s="7"/>
      <c r="P5" s="7"/>
      <c r="Q5" s="7"/>
      <c r="R5" s="7"/>
    </row>
    <row r="6" spans="2:18" x14ac:dyDescent="0.25">
      <c r="C6" s="88" t="s">
        <v>43</v>
      </c>
      <c r="D6" s="88"/>
      <c r="E6" s="161">
        <v>1</v>
      </c>
      <c r="F6" s="161">
        <v>2</v>
      </c>
      <c r="G6" s="161">
        <v>3</v>
      </c>
      <c r="H6" s="161">
        <v>4</v>
      </c>
      <c r="I6" s="161">
        <v>5</v>
      </c>
      <c r="J6" s="7"/>
      <c r="O6" s="7"/>
      <c r="P6" s="7"/>
      <c r="Q6" s="7"/>
      <c r="R6" s="7"/>
    </row>
    <row r="7" spans="2:18" s="91" customFormat="1" ht="27.6" customHeight="1" x14ac:dyDescent="0.3">
      <c r="C7" s="162" t="s">
        <v>44</v>
      </c>
      <c r="D7" s="162"/>
      <c r="E7" s="139" t="s">
        <v>46</v>
      </c>
      <c r="F7" s="139" t="s">
        <v>46</v>
      </c>
      <c r="G7" s="139" t="s">
        <v>46</v>
      </c>
      <c r="H7" s="139" t="s">
        <v>45</v>
      </c>
      <c r="I7" s="139" t="s">
        <v>45</v>
      </c>
      <c r="J7" s="163"/>
      <c r="K7" s="164"/>
      <c r="L7" s="164"/>
      <c r="M7" s="164"/>
      <c r="N7" s="164"/>
      <c r="O7" s="164"/>
      <c r="P7" s="164"/>
      <c r="Q7" s="164"/>
      <c r="R7" s="164"/>
    </row>
    <row r="8" spans="2:18" s="91" customFormat="1" x14ac:dyDescent="0.3">
      <c r="C8" s="162" t="s">
        <v>48</v>
      </c>
      <c r="D8" s="162"/>
      <c r="E8" s="139" t="s">
        <v>50</v>
      </c>
      <c r="F8" s="139" t="s">
        <v>50</v>
      </c>
      <c r="G8" s="139" t="s">
        <v>50</v>
      </c>
      <c r="H8" s="139" t="s">
        <v>49</v>
      </c>
      <c r="I8" s="139" t="s">
        <v>49</v>
      </c>
      <c r="J8" s="163"/>
      <c r="K8" s="235"/>
      <c r="L8" s="235" t="str">
        <f>IF(J23&gt;0,"FEHLER - bitte treffenden Energieträger wählen","")</f>
        <v/>
      </c>
      <c r="M8" s="235"/>
      <c r="N8" s="235"/>
      <c r="O8" s="227"/>
      <c r="P8" s="164"/>
      <c r="Q8" s="164"/>
      <c r="R8" s="164"/>
    </row>
    <row r="9" spans="2:18" s="91" customFormat="1" x14ac:dyDescent="0.3">
      <c r="C9" s="162" t="s">
        <v>52</v>
      </c>
      <c r="D9" s="162"/>
      <c r="E9" s="140" t="s">
        <v>53</v>
      </c>
      <c r="F9" s="140" t="s">
        <v>54</v>
      </c>
      <c r="G9" s="140" t="s">
        <v>55</v>
      </c>
      <c r="H9" s="140" t="s">
        <v>56</v>
      </c>
      <c r="I9" s="140" t="s">
        <v>57</v>
      </c>
      <c r="J9" s="238"/>
      <c r="K9" s="236"/>
      <c r="L9" s="239"/>
      <c r="M9" s="239"/>
      <c r="N9" s="236"/>
      <c r="O9" s="164"/>
      <c r="P9" s="164"/>
      <c r="Q9" s="164"/>
      <c r="R9" s="164"/>
    </row>
    <row r="10" spans="2:18" s="91" customFormat="1" x14ac:dyDescent="0.3">
      <c r="C10" s="162" t="s">
        <v>58</v>
      </c>
      <c r="D10" s="162"/>
      <c r="E10" s="140" t="s">
        <v>538</v>
      </c>
      <c r="F10" s="140" t="s">
        <v>541</v>
      </c>
      <c r="G10" s="140" t="s">
        <v>544</v>
      </c>
      <c r="H10" s="140" t="s">
        <v>544</v>
      </c>
      <c r="I10" s="140" t="s">
        <v>59</v>
      </c>
      <c r="J10" s="238"/>
      <c r="K10" s="236"/>
      <c r="L10" s="432" t="s">
        <v>405</v>
      </c>
      <c r="M10" s="432"/>
      <c r="N10" s="236"/>
      <c r="O10" s="164"/>
      <c r="P10" s="164"/>
      <c r="Q10" s="164"/>
      <c r="R10" s="164"/>
    </row>
    <row r="11" spans="2:18" s="91" customFormat="1" x14ac:dyDescent="0.3">
      <c r="C11" s="162" t="s">
        <v>60</v>
      </c>
      <c r="D11" s="162"/>
      <c r="E11" s="141" t="s">
        <v>539</v>
      </c>
      <c r="F11" s="141" t="s">
        <v>542</v>
      </c>
      <c r="G11" s="141" t="s">
        <v>545</v>
      </c>
      <c r="H11" s="141" t="s">
        <v>547</v>
      </c>
      <c r="I11" s="141" t="s">
        <v>548</v>
      </c>
      <c r="J11" s="238"/>
      <c r="K11" s="434" t="s">
        <v>61</v>
      </c>
      <c r="L11" s="434"/>
      <c r="M11" s="434"/>
      <c r="N11" s="434"/>
      <c r="O11" s="164"/>
      <c r="P11" s="164"/>
      <c r="Q11" s="164"/>
      <c r="R11" s="164"/>
    </row>
    <row r="12" spans="2:18" s="91" customFormat="1" ht="55.95" customHeight="1" x14ac:dyDescent="0.25">
      <c r="C12" s="165" t="s">
        <v>62</v>
      </c>
      <c r="D12" s="88"/>
      <c r="E12" s="141" t="s">
        <v>540</v>
      </c>
      <c r="F12" s="141" t="s">
        <v>543</v>
      </c>
      <c r="G12" s="141" t="s">
        <v>546</v>
      </c>
      <c r="H12" s="141" t="s">
        <v>549</v>
      </c>
      <c r="I12" s="141" t="s">
        <v>550</v>
      </c>
      <c r="J12" s="164"/>
      <c r="K12" s="433" t="s">
        <v>63</v>
      </c>
      <c r="L12" s="433"/>
      <c r="M12" s="433"/>
      <c r="N12" s="433"/>
      <c r="O12" s="164"/>
      <c r="P12" s="164"/>
      <c r="Q12" s="164"/>
      <c r="R12" s="164"/>
    </row>
    <row r="13" spans="2:18" s="91" customFormat="1" ht="55.95" customHeight="1" x14ac:dyDescent="0.25">
      <c r="C13" s="165" t="s">
        <v>582</v>
      </c>
      <c r="D13" s="384"/>
      <c r="E13" s="139" t="s">
        <v>537</v>
      </c>
      <c r="F13" s="139" t="s">
        <v>537</v>
      </c>
      <c r="G13" s="139" t="s">
        <v>537</v>
      </c>
      <c r="H13" s="139" t="s">
        <v>537</v>
      </c>
      <c r="I13" s="139" t="s">
        <v>537</v>
      </c>
      <c r="J13" s="164"/>
      <c r="K13" s="366"/>
      <c r="L13" s="366"/>
      <c r="M13" s="366"/>
      <c r="N13" s="366"/>
      <c r="O13" s="164"/>
      <c r="P13" s="164"/>
      <c r="Q13" s="164"/>
      <c r="R13" s="164"/>
    </row>
    <row r="14" spans="2:18" s="91" customFormat="1" ht="14.4" x14ac:dyDescent="0.3">
      <c r="C14" s="162" t="str">
        <f>IF(ISBLANK(FinArt), "Art der Beschaffung wählen in:", VLOOKUP(FinArt,FinArtList,3,FALSE))</f>
        <v>Fahrzeuggesamtpreis (brutto)</v>
      </c>
      <c r="D14" s="166" t="str">
        <f>IF(ISBLANK(FinArt), "Input_Beschaffung", VLOOKUP(FinArt,FinArtList,2,FALSE))</f>
        <v>EUR</v>
      </c>
      <c r="E14" s="142">
        <v>36771</v>
      </c>
      <c r="F14" s="142">
        <v>35331</v>
      </c>
      <c r="G14" s="142">
        <v>35641</v>
      </c>
      <c r="H14" s="142">
        <v>45756</v>
      </c>
      <c r="I14" s="142">
        <v>37118</v>
      </c>
      <c r="J14" s="164"/>
      <c r="K14" s="236"/>
      <c r="L14" s="239"/>
      <c r="M14" s="239"/>
      <c r="N14" s="237"/>
      <c r="O14" s="167"/>
      <c r="P14" s="167"/>
      <c r="Q14" s="164"/>
      <c r="R14" s="164"/>
    </row>
    <row r="15" spans="2:18" s="91" customFormat="1" x14ac:dyDescent="0.3">
      <c r="C15" s="162" t="s">
        <v>64</v>
      </c>
      <c r="D15" s="263" t="s">
        <v>65</v>
      </c>
      <c r="E15" s="361"/>
      <c r="F15" s="364"/>
      <c r="G15" s="361"/>
      <c r="H15" s="361"/>
      <c r="I15" s="361"/>
      <c r="J15" s="264" t="s">
        <v>66</v>
      </c>
      <c r="K15" s="164"/>
      <c r="L15" s="164"/>
      <c r="M15" s="164"/>
      <c r="N15" s="164"/>
      <c r="O15" s="164"/>
      <c r="P15" s="164"/>
      <c r="Q15" s="164"/>
      <c r="R15" s="164"/>
    </row>
    <row r="16" spans="2:18" s="91" customFormat="1" ht="16.95" customHeight="1" x14ac:dyDescent="0.3">
      <c r="B16" s="431" t="s">
        <v>67</v>
      </c>
      <c r="C16" s="429" t="s">
        <v>68</v>
      </c>
      <c r="D16" s="359" t="s">
        <v>69</v>
      </c>
      <c r="E16" s="365">
        <v>4.9000000000000004</v>
      </c>
      <c r="F16" s="257">
        <v>5.7</v>
      </c>
      <c r="G16" s="363">
        <v>7.6</v>
      </c>
      <c r="H16" s="363"/>
      <c r="I16" s="362"/>
      <c r="J16" s="360"/>
      <c r="K16" s="164"/>
      <c r="L16" s="164"/>
      <c r="M16" s="164"/>
      <c r="N16" s="164"/>
      <c r="P16" s="167"/>
      <c r="Q16" s="167"/>
      <c r="R16" s="164"/>
    </row>
    <row r="17" spans="2:18" s="91" customFormat="1" ht="16.95" customHeight="1" x14ac:dyDescent="0.3">
      <c r="B17" s="431"/>
      <c r="C17" s="430"/>
      <c r="D17" s="166" t="s">
        <v>70</v>
      </c>
      <c r="E17" s="357"/>
      <c r="F17" s="257"/>
      <c r="G17" s="257"/>
      <c r="H17" s="257">
        <v>24.9</v>
      </c>
      <c r="I17" s="358">
        <v>18.600000000000001</v>
      </c>
      <c r="J17" s="164"/>
      <c r="K17" s="164"/>
      <c r="L17" s="164"/>
      <c r="M17" s="164"/>
      <c r="N17" s="164"/>
      <c r="O17" s="164"/>
      <c r="P17" s="164"/>
      <c r="Q17" s="164"/>
      <c r="R17" s="164"/>
    </row>
    <row r="18" spans="2:18" s="91" customFormat="1" ht="16.95" customHeight="1" x14ac:dyDescent="0.3">
      <c r="B18" s="431"/>
      <c r="C18" s="162" t="s">
        <v>71</v>
      </c>
      <c r="D18" s="166" t="s">
        <v>72</v>
      </c>
      <c r="E18" s="258">
        <v>130</v>
      </c>
      <c r="F18" s="140">
        <v>149</v>
      </c>
      <c r="G18" s="140">
        <v>198</v>
      </c>
      <c r="H18" s="140"/>
      <c r="I18" s="259"/>
      <c r="J18" s="164"/>
      <c r="K18" s="164"/>
      <c r="L18" s="167"/>
      <c r="M18" s="164"/>
      <c r="N18" s="164"/>
      <c r="O18" s="164"/>
      <c r="P18" s="164"/>
      <c r="Q18" s="164"/>
      <c r="R18" s="164"/>
    </row>
    <row r="19" spans="2:18" s="91" customFormat="1" ht="16.95" customHeight="1" x14ac:dyDescent="0.3">
      <c r="B19" s="431"/>
      <c r="C19" s="162" t="s">
        <v>73</v>
      </c>
      <c r="D19" s="166" t="s">
        <v>74</v>
      </c>
      <c r="E19" s="258">
        <v>58.6</v>
      </c>
      <c r="F19" s="140">
        <v>42.4</v>
      </c>
      <c r="G19" s="140">
        <v>42.2</v>
      </c>
      <c r="H19" s="140"/>
      <c r="I19" s="259"/>
      <c r="J19" s="164"/>
      <c r="K19" s="235"/>
      <c r="L19" s="235" t="str">
        <f>IF(SUM(J23:J28)&gt;0,"FEHLER: Bitte alle Werte füllen","")</f>
        <v/>
      </c>
      <c r="M19" s="240"/>
      <c r="N19" s="240"/>
      <c r="O19" s="227"/>
      <c r="P19" s="164"/>
      <c r="Q19" s="164"/>
      <c r="R19" s="164"/>
    </row>
    <row r="20" spans="2:18" s="91" customFormat="1" ht="16.95" customHeight="1" x14ac:dyDescent="0.3">
      <c r="B20" s="431"/>
      <c r="C20" s="162" t="s">
        <v>75</v>
      </c>
      <c r="D20" s="166" t="s">
        <v>74</v>
      </c>
      <c r="E20" s="258">
        <v>0.42</v>
      </c>
      <c r="F20" s="140">
        <v>0.3</v>
      </c>
      <c r="G20" s="140">
        <v>0.5</v>
      </c>
      <c r="H20" s="140"/>
      <c r="I20" s="259"/>
      <c r="J20" s="164"/>
      <c r="K20" s="164"/>
      <c r="L20" s="167"/>
      <c r="M20" s="164"/>
      <c r="N20" s="164"/>
      <c r="O20" s="164"/>
      <c r="P20" s="164"/>
      <c r="Q20" s="164"/>
      <c r="R20" s="164"/>
    </row>
    <row r="21" spans="2:18" s="91" customFormat="1" ht="16.95" customHeight="1" x14ac:dyDescent="0.3">
      <c r="B21" s="431"/>
      <c r="C21" s="162" t="s">
        <v>76</v>
      </c>
      <c r="D21" s="166" t="s">
        <v>77</v>
      </c>
      <c r="E21" s="260"/>
      <c r="F21" s="261"/>
      <c r="G21" s="261"/>
      <c r="H21" s="261"/>
      <c r="I21" s="262"/>
      <c r="J21" s="182"/>
      <c r="K21" s="164"/>
      <c r="L21" s="167"/>
      <c r="M21" s="164"/>
      <c r="N21" s="164"/>
      <c r="O21" s="164"/>
      <c r="P21" s="164"/>
      <c r="Q21" s="164"/>
      <c r="R21" s="164"/>
    </row>
    <row r="22" spans="2:18" s="91" customFormat="1" x14ac:dyDescent="0.3">
      <c r="C22" s="162" t="s">
        <v>78</v>
      </c>
      <c r="D22" s="168" t="s">
        <v>79</v>
      </c>
      <c r="E22" s="257"/>
      <c r="F22" s="257"/>
      <c r="G22" s="257"/>
      <c r="H22" s="257">
        <v>50</v>
      </c>
      <c r="I22" s="257">
        <v>75</v>
      </c>
      <c r="J22" s="164"/>
      <c r="K22" s="164"/>
      <c r="L22" s="164"/>
      <c r="M22" s="164"/>
      <c r="N22" s="164"/>
      <c r="O22" s="164"/>
      <c r="P22" s="164"/>
      <c r="Q22" s="164"/>
      <c r="R22" s="164"/>
    </row>
    <row r="23" spans="2:18" x14ac:dyDescent="0.25">
      <c r="D23" s="228" t="s">
        <v>80</v>
      </c>
      <c r="E23" s="389">
        <f>IF(AND(OR(Energie1="nicht verfügbar",COUNTIF(EnList1,Energie1)&lt;&gt;1),Antriebsart1&lt;&gt;0),1,0)</f>
        <v>0</v>
      </c>
      <c r="F23" s="389">
        <f>IF(AND(OR(Energie2="nicht verfügbar",COUNTIF(EnList2,Energie2)&lt;&gt;1),Antriebsart2&lt;&gt;0),1,0)</f>
        <v>0</v>
      </c>
      <c r="G23" s="389">
        <f>IF(AND(OR(Energie3="nicht verfügbar",COUNTIF(EnList3,Energie3)&lt;&gt;1),Antriebsart3&lt;&gt;0),1,0)</f>
        <v>0</v>
      </c>
      <c r="H23" s="389">
        <f>IF(AND(OR(Energie4="nicht verfügbar",COUNTIF(EnList4,Energie4)&lt;&gt;1),Antriebsart4&lt;&gt;0),1,0)</f>
        <v>0</v>
      </c>
      <c r="I23" s="389">
        <f>IF(AND(OR(Energie5="nicht verfügbar",COUNTIF(EnList5,Energie5)&lt;&gt;1),Antriebsart5&lt;&gt;0),1,0)</f>
        <v>0</v>
      </c>
      <c r="J23" s="146">
        <f>SUM(E23:I23)</f>
        <v>0</v>
      </c>
      <c r="O23" s="7"/>
      <c r="P23" s="7"/>
      <c r="Q23" s="7"/>
      <c r="R23" s="7"/>
    </row>
    <row r="24" spans="2:18" ht="14.4" x14ac:dyDescent="0.3">
      <c r="C24" s="77" t="s">
        <v>456</v>
      </c>
      <c r="D24" s="228"/>
      <c r="E24" s="389"/>
      <c r="F24" s="389"/>
      <c r="G24" s="389"/>
      <c r="H24" s="389"/>
      <c r="I24" s="389"/>
      <c r="J24" s="146"/>
      <c r="O24" s="7"/>
      <c r="P24" s="7"/>
      <c r="Q24" s="7"/>
      <c r="R24" s="7"/>
    </row>
    <row r="25" spans="2:18" ht="13.8" customHeight="1" x14ac:dyDescent="0.25">
      <c r="B25" s="404" t="s">
        <v>11</v>
      </c>
      <c r="C25" s="331" t="s">
        <v>452</v>
      </c>
      <c r="D25" s="322" t="s">
        <v>150</v>
      </c>
      <c r="E25" s="256">
        <v>160</v>
      </c>
      <c r="F25" s="256">
        <v>136</v>
      </c>
      <c r="G25" s="256">
        <v>172</v>
      </c>
      <c r="H25" s="256">
        <v>0</v>
      </c>
      <c r="I25" s="256">
        <v>0</v>
      </c>
      <c r="J25" s="146"/>
      <c r="O25" s="7"/>
      <c r="P25" s="7"/>
      <c r="Q25" s="7"/>
      <c r="R25" s="7"/>
    </row>
    <row r="26" spans="2:18" ht="13.8" customHeight="1" x14ac:dyDescent="0.25">
      <c r="B26" s="404"/>
      <c r="C26" s="331"/>
      <c r="D26" s="322" t="s">
        <v>150</v>
      </c>
      <c r="E26" s="256"/>
      <c r="F26" s="256"/>
      <c r="G26" s="256"/>
      <c r="H26" s="256"/>
      <c r="I26" s="256"/>
      <c r="J26" s="146"/>
      <c r="O26" s="7"/>
      <c r="P26" s="7"/>
      <c r="Q26" s="7"/>
      <c r="R26" s="7"/>
    </row>
    <row r="27" spans="2:18" x14ac:dyDescent="0.25">
      <c r="B27" s="404"/>
      <c r="C27" s="335"/>
      <c r="D27" s="322" t="s">
        <v>150</v>
      </c>
      <c r="E27" s="256"/>
      <c r="F27" s="256"/>
      <c r="G27" s="256"/>
      <c r="H27" s="256"/>
      <c r="I27" s="256"/>
      <c r="J27" s="146"/>
      <c r="O27" s="7"/>
      <c r="P27" s="7"/>
      <c r="Q27" s="7"/>
      <c r="R27" s="7"/>
    </row>
    <row r="28" spans="2:18" x14ac:dyDescent="0.25">
      <c r="D28" s="228" t="s">
        <v>81</v>
      </c>
      <c r="E28" s="389">
        <f>IF(OR(AND(COUNT(E16:E22)&lt;7,Antriebsart1="Plug-In-Hybrid (PHEV)"),AND(COUNT(E17,E22)&lt;2,Antriebsart1="Vollelektrisch (BEV)"),AND(COUNT(E16,E18:E20)&lt;4,Antriebsart1="Verbrenner")),1,0)</f>
        <v>0</v>
      </c>
      <c r="F28" s="389">
        <f>IF(OR(AND(COUNT(F16:F22)&lt;7,Antriebsart2="Plug-In-Hybrid (PHEV)"),AND(COUNT(F17,F22)&lt;2,Antriebsart2="Vollelektrisch (BEV)"),AND(COUNT(F16,F18:F20)&lt;4,Antriebsart2="Verbrenner")),1,0)</f>
        <v>0</v>
      </c>
      <c r="G28" s="389">
        <f>IF(OR(AND(COUNT(G16:G22)&lt;7,Antriebsart3="Plug-In-Hybrid (PHEV)"),AND(COUNT(G17,G22)&lt;2,Antriebsart3="Vollelektrisch (BEV)"),AND(COUNT(G16,G18:G20)&lt;4,Antriebsart3="Verbrenner")),1,0)</f>
        <v>0</v>
      </c>
      <c r="H28" s="389">
        <f>IF(OR(AND(COUNT(H16:H22)&lt;7,Antriebsart4="Plug-In-Hybrid (PHEV)"),AND(COUNT(H17,H22)&lt;2,Antriebsart4="Vollelektrisch (BEV)"),AND(COUNT(H16,H18:H20)&lt;4,Antriebsart4="Verbrenner")),1,0)</f>
        <v>0</v>
      </c>
      <c r="I28" s="389">
        <f>IF(OR(AND(COUNT(I16:I22)&lt;7,Antriebsart5="Plug-In-Hybrid (PHEV)"),AND(COUNT(I17,I22)&lt;2,Antriebsart5="Vollelektrisch (BEV)"),AND(COUNT(I16,I18:I20)&lt;4,Antriebsart5="Verbrenner")),1,0)</f>
        <v>0</v>
      </c>
      <c r="J28" s="146">
        <f>SUM(E28:I28)</f>
        <v>0</v>
      </c>
      <c r="O28" s="7"/>
      <c r="P28" s="7"/>
      <c r="Q28" s="7"/>
      <c r="R28" s="7"/>
    </row>
    <row r="29" spans="2:18" ht="41.4" customHeight="1" x14ac:dyDescent="0.25">
      <c r="E29" s="426" t="s">
        <v>82</v>
      </c>
      <c r="F29" s="427"/>
      <c r="G29" s="427"/>
      <c r="H29" s="427"/>
      <c r="I29" s="428"/>
    </row>
    <row r="30" spans="2:18" ht="13.2" customHeight="1" x14ac:dyDescent="0.25">
      <c r="E30" s="421" t="s">
        <v>83</v>
      </c>
      <c r="F30" s="408"/>
      <c r="G30" s="408"/>
      <c r="H30" s="408"/>
      <c r="I30" s="422"/>
    </row>
    <row r="31" spans="2:18" x14ac:dyDescent="0.25">
      <c r="E31" s="423"/>
      <c r="F31" s="424"/>
      <c r="G31" s="424"/>
      <c r="H31" s="424"/>
      <c r="I31" s="425"/>
    </row>
    <row r="33" spans="3:3" x14ac:dyDescent="0.25">
      <c r="C33" s="1" t="s">
        <v>429</v>
      </c>
    </row>
  </sheetData>
  <sheetProtection sheet="1" objects="1" scenarios="1"/>
  <mergeCells count="8">
    <mergeCell ref="E30:I31"/>
    <mergeCell ref="E29:I29"/>
    <mergeCell ref="C16:C17"/>
    <mergeCell ref="B16:B21"/>
    <mergeCell ref="L10:M10"/>
    <mergeCell ref="K12:N12"/>
    <mergeCell ref="K11:N11"/>
    <mergeCell ref="B25:B27"/>
  </mergeCells>
  <conditionalFormatting sqref="F17">
    <cfRule type="expression" dxfId="98" priority="21">
      <formula>Antriebsart2="Verbrenner"</formula>
    </cfRule>
    <cfRule type="cellIs" dxfId="97" priority="95" operator="greaterThan">
      <formula>IF(Antriebsart2="Vollelektrisch (BEV)", IF(Laderaum="Höhe ≥ 1,4 m oder Länge ≥ 3,0 m", maxkWh_Laderaum, IF(OR(Zuladung="&lt;700 kg", Zuladung="keine Anforderung"), maxkWh_700kg, IF(Zuladung="700 - &lt;1000 kg", maxkWh_1000kg, maxkWh_größer1000kg))), IF(Antriebsart2="Plug-in-Hybrid (PHEV)", max_Verbrauch_PHEV_kWh, 1000))</formula>
    </cfRule>
  </conditionalFormatting>
  <conditionalFormatting sqref="G17">
    <cfRule type="expression" dxfId="96" priority="20">
      <formula>Antriebsart3="Verbrenner"</formula>
    </cfRule>
    <cfRule type="cellIs" dxfId="95" priority="94" operator="greaterThan">
      <formula>IF(Antriebsart3="Vollelektrisch (BEV)", IF(Laderaum="Höhe ≥ 1,4 m oder Länge ≥ 3,0 m", maxkWh_Laderaum, IF(OR(Zuladung="&lt;700 kg", Zuladung="keine Anforderung"), maxkWh_700kg, IF(Zuladung="700 - &lt;1000 kg", maxkWh_1000kg, maxkWh_größer1000kg))), IF(Antriebsart3="Plug-in-Hybrid (PHEV)", max_Verbrauch_PHEV_kWh, 1000))</formula>
    </cfRule>
  </conditionalFormatting>
  <conditionalFormatting sqref="H17">
    <cfRule type="expression" dxfId="94" priority="19">
      <formula>Antriebsart4="Verbrenner"</formula>
    </cfRule>
    <cfRule type="cellIs" dxfId="93" priority="93" operator="greaterThan">
      <formula>IF(Antriebsart4="Vollelektrisch (BEV)", IF(Laderaum="Höhe ≥ 1,4 m oder Länge ≥ 3,0 m", maxkWh_Laderaum, IF(OR(Zuladung="&lt;700 kg", Zuladung="keine Anforderung"), maxkWh_700kg, IF(Zuladung="700 - &lt;1000 kg", maxkWh_1000kg, maxkWh_größer1000kg))), IF(Antriebsart4="Plug-in-Hybrid (PHEV)", max_Verbrauch_PHEV_kWh, 1000))</formula>
    </cfRule>
  </conditionalFormatting>
  <conditionalFormatting sqref="I17">
    <cfRule type="expression" dxfId="92" priority="18">
      <formula>Antriebsart5="Verbrenner"</formula>
    </cfRule>
    <cfRule type="cellIs" dxfId="91" priority="45" operator="greaterThan">
      <formula>IF(Antriebsart5="Vollelektrisch (BEV)", IF(Laderaum="Höhe ≥ 1,4 m oder Länge ≥ 3,0 m", maxkWh_Laderaum, IF(OR(Zuladung="&lt;700 kg", Zuladung="keine Anforderung"), maxkWh_700kg, IF(Zuladung="700 - &lt;1000 kg", maxkWh_1000kg, maxkWh_größer1000kg))), IF(Antriebsart5="Plug-in-Hybrid (PHEV)", max_Verbrauch_PHEV_kWh, 1000))</formula>
    </cfRule>
  </conditionalFormatting>
  <conditionalFormatting sqref="F18:F20">
    <cfRule type="expression" dxfId="90" priority="15">
      <formula>Antriebsart2="Vollelektrisch (BEV)"</formula>
    </cfRule>
  </conditionalFormatting>
  <conditionalFormatting sqref="G18:G20">
    <cfRule type="expression" dxfId="89" priority="3">
      <formula>Antriebsart3="Vollelektrisch (BEV)"</formula>
    </cfRule>
  </conditionalFormatting>
  <conditionalFormatting sqref="H18:H20">
    <cfRule type="expression" dxfId="88" priority="2">
      <formula>Antriebsart4="Vollelektrisch (BEV)"</formula>
    </cfRule>
  </conditionalFormatting>
  <conditionalFormatting sqref="I18:I20">
    <cfRule type="expression" dxfId="87" priority="1">
      <formula>Antriebsart5="Vollelektrisch (BEV)"</formula>
    </cfRule>
  </conditionalFormatting>
  <conditionalFormatting sqref="F22">
    <cfRule type="expression" dxfId="86" priority="77">
      <formula>AND(Antriebsart2&lt;&gt;"Vollelektrisch (BEV)",Antriebsart2&lt;&gt;"Plug-In-Hybrid (PHEV)")</formula>
    </cfRule>
  </conditionalFormatting>
  <conditionalFormatting sqref="G22">
    <cfRule type="expression" dxfId="85" priority="76">
      <formula>AND(Antriebsart3&lt;&gt;"Vollelektrisch (BEV)",Antriebsart3&lt;&gt;"Plug-In-Hybrid (PHEV)")</formula>
    </cfRule>
  </conditionalFormatting>
  <conditionalFormatting sqref="H22">
    <cfRule type="expression" dxfId="84" priority="75">
      <formula>AND(Antriebsart4&lt;&gt;"Vollelektrisch (BEV)",Antriebsart4&lt;&gt;"Plug-In-Hybrid (PHEV)")</formula>
    </cfRule>
  </conditionalFormatting>
  <conditionalFormatting sqref="I22">
    <cfRule type="expression" dxfId="83" priority="74">
      <formula>AND(Antriebsart5&lt;&gt;"Vollelektrisch (BEV)",Antriebsart5&lt;&gt;"Plug-In-Hybrid (PHEV)")</formula>
    </cfRule>
  </conditionalFormatting>
  <conditionalFormatting sqref="C15 F15:I15">
    <cfRule type="expression" dxfId="82" priority="73">
      <formula>FinArt&lt;&gt;"Leasing"</formula>
    </cfRule>
  </conditionalFormatting>
  <conditionalFormatting sqref="D15">
    <cfRule type="expression" dxfId="81" priority="72">
      <formula>FinArt="Leasing"</formula>
    </cfRule>
  </conditionalFormatting>
  <conditionalFormatting sqref="F16">
    <cfRule type="expression" dxfId="80" priority="8">
      <formula>Antriebsart2="Vollelektrisch (BEV)"</formula>
    </cfRule>
    <cfRule type="cellIs" dxfId="79" priority="70" operator="greaterThan">
      <formula>IF(Antriebsart2="Verbrenner", max_Verbrauch_Verbrenner, IF(Antriebsart2="Plug-in-Hybrid (PHEV)", max_Verbrauch_PHEV_l, 1000))</formula>
    </cfRule>
  </conditionalFormatting>
  <conditionalFormatting sqref="G16">
    <cfRule type="expression" dxfId="78" priority="7">
      <formula>Antriebsart3="Vollelektrisch (BEV)"</formula>
    </cfRule>
    <cfRule type="cellIs" dxfId="77" priority="69" operator="greaterThan">
      <formula>IF(Antriebsart3="Verbrenner", max_Verbrauch_Verbrenner, IF(Antriebsart3="Plug-in-Hybrid (PHEV)", max_Verbrauch_PHEV_l, 1000))</formula>
    </cfRule>
  </conditionalFormatting>
  <conditionalFormatting sqref="H16">
    <cfRule type="expression" dxfId="76" priority="6">
      <formula>Antriebsart4="Vollelektrisch (BEV)"</formula>
    </cfRule>
    <cfRule type="cellIs" dxfId="75" priority="68" operator="greaterThan">
      <formula>IF(Antriebsart4="Verbrenner", max_Verbrauch_Verbrenner, IF(Antriebsart4="Plug-in-Hybrid (PHEV)", max_Verbrauch_PHEV_l, 1000))</formula>
    </cfRule>
  </conditionalFormatting>
  <conditionalFormatting sqref="I16">
    <cfRule type="expression" dxfId="74" priority="10">
      <formula>Antriebsart5="Vollelektrisch (BEV)"</formula>
    </cfRule>
    <cfRule type="cellIs" dxfId="73" priority="67" operator="greaterThan">
      <formula>IF(Antriebsart5="Verbrenner", max_Verbrauch_Verbrenner, IF(Antriebsart5="Plug-in-Hybrid (PHEV)", max_Verbrauch_PHEV_l, 1000))</formula>
    </cfRule>
  </conditionalFormatting>
  <conditionalFormatting sqref="F21">
    <cfRule type="expression" dxfId="72" priority="58">
      <formula>Antriebsart2&lt;&gt;"Plug-In-Hybrid (PHEV)"</formula>
    </cfRule>
  </conditionalFormatting>
  <conditionalFormatting sqref="G21">
    <cfRule type="expression" dxfId="71" priority="57">
      <formula>Antriebsart3&lt;&gt;"Plug-In-Hybrid (PHEV)"</formula>
    </cfRule>
  </conditionalFormatting>
  <conditionalFormatting sqref="H21">
    <cfRule type="expression" dxfId="70" priority="56">
      <formula>Antriebsart4&lt;&gt;"Plug-In-Hybrid (PHEV)"</formula>
    </cfRule>
  </conditionalFormatting>
  <conditionalFormatting sqref="I21">
    <cfRule type="expression" dxfId="69" priority="48">
      <formula>Antriebsart5&lt;&gt;"Plug-In-Hybrid (PHEV)"</formula>
    </cfRule>
  </conditionalFormatting>
  <conditionalFormatting sqref="H18">
    <cfRule type="cellIs" dxfId="68" priority="82" operator="greaterThan">
      <formula>IF(Antriebsart4="Plug-in-Hybrid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F19">
    <cfRule type="cellIs" dxfId="67" priority="81" operator="greaterThan">
      <formula>IF(Fahrzeugklasse2=N1I, maxNOX_N1I, IF(Fahrzeugklasse2=N1II, maxNOX_N1II, maxNOX_N1III))</formula>
    </cfRule>
  </conditionalFormatting>
  <conditionalFormatting sqref="F20:I20">
    <cfRule type="cellIs" dxfId="66" priority="80" operator="greaterThan">
      <formula>maxPM</formula>
    </cfRule>
  </conditionalFormatting>
  <conditionalFormatting sqref="E21:I21">
    <cfRule type="cellIs" dxfId="65" priority="60" operator="lessThan">
      <formula>IF(AND(ISNUMBER(minReichwPHEV), ISBLANK(ReichwPHEV5)=FALSE), minReichwPHEV, 0)</formula>
    </cfRule>
  </conditionalFormatting>
  <conditionalFormatting sqref="F8:I8">
    <cfRule type="expression" dxfId="64" priority="39">
      <formula>F$23=1</formula>
    </cfRule>
  </conditionalFormatting>
  <conditionalFormatting sqref="K8:O8">
    <cfRule type="expression" dxfId="63" priority="38">
      <formula>$J$23=0</formula>
    </cfRule>
  </conditionalFormatting>
  <conditionalFormatting sqref="K19:O19">
    <cfRule type="expression" dxfId="62" priority="37">
      <formula>AND($J$23=0,$J$28=0)</formula>
    </cfRule>
  </conditionalFormatting>
  <conditionalFormatting sqref="E17">
    <cfRule type="expression" dxfId="61" priority="35">
      <formula>Antriebsart1="Verbrenner"</formula>
    </cfRule>
    <cfRule type="cellIs" dxfId="60" priority="98" operator="greaterThan">
      <formula>IF(Antriebsart1="Vollelektrisch (BEV)", IF(Laderaum="Höhe ≥ 1,4 m oder Länge ≥ 3,0 m", maxkWh_Laderaum, IF(OR(Zuladung="&lt;700 kg", Zuladung="keine Anforderung"), maxkWh_700kg, IF(Zuladung="700 - &lt;1000 kg", maxkWh_1000kg, maxkWh_größer1000kg))), IF(Antriebsart1="Plug-in-Hybrid (PHEV)", max_Verbrauch_PHEV_kWh, 1000))</formula>
    </cfRule>
  </conditionalFormatting>
  <conditionalFormatting sqref="E18:E20">
    <cfRule type="expression" dxfId="59" priority="26">
      <formula>Antriebsart1="Vollelektrisch (BEV)"</formula>
    </cfRule>
  </conditionalFormatting>
  <conditionalFormatting sqref="E22">
    <cfRule type="expression" dxfId="58" priority="31">
      <formula>AND(Antriebsart1&lt;&gt;"Vollelektrisch (BEV)",Antriebsart1&lt;&gt;"Plug-In-Hybrid (PHEV)")</formula>
    </cfRule>
  </conditionalFormatting>
  <conditionalFormatting sqref="E15">
    <cfRule type="expression" dxfId="57" priority="30">
      <formula>FinArt&lt;&gt;"Leasing"</formula>
    </cfRule>
  </conditionalFormatting>
  <conditionalFormatting sqref="E16">
    <cfRule type="expression" dxfId="56" priority="9">
      <formula>Antriebsart1="Vollelektrisch (BEV)"</formula>
    </cfRule>
    <cfRule type="cellIs" dxfId="55" priority="29" operator="greaterThan">
      <formula>IF(Antriebsart1="Verbrenner", max_Verbrauch_Verbrenner, IF(Antriebsart1="Plug-in-Hybrid (PHEV)", max_Verbrauch_PHEV_l, 1000))</formula>
    </cfRule>
  </conditionalFormatting>
  <conditionalFormatting sqref="E21">
    <cfRule type="expression" dxfId="54" priority="27">
      <formula>Antriebsart1&lt;&gt;"Plug-In-Hybrid (PHEV)"</formula>
    </cfRule>
  </conditionalFormatting>
  <conditionalFormatting sqref="E18">
    <cfRule type="cellIs" dxfId="53" priority="34" operator="greaterThan">
      <formula>IF(Antriebsart1="Plug-in-Hybrid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E19">
    <cfRule type="cellIs" dxfId="52" priority="33" operator="greaterThan">
      <formula>IF(Fahrzeugklasse1=N1I, maxNOX_N1I, IF(Fahrzeugklasse1=N1II, maxNOX_N1II, maxNOX_N1III))</formula>
    </cfRule>
  </conditionalFormatting>
  <conditionalFormatting sqref="E20">
    <cfRule type="cellIs" dxfId="51" priority="32" operator="greaterThan">
      <formula>maxPM</formula>
    </cfRule>
  </conditionalFormatting>
  <conditionalFormatting sqref="E8">
    <cfRule type="expression" dxfId="50" priority="25">
      <formula>E$23=1</formula>
    </cfRule>
  </conditionalFormatting>
  <conditionalFormatting sqref="C14:D14">
    <cfRule type="expression" dxfId="49" priority="22">
      <formula>ISBLANK(FinArt)</formula>
    </cfRule>
  </conditionalFormatting>
  <conditionalFormatting sqref="I18">
    <cfRule type="cellIs" dxfId="48" priority="49" operator="greaterThan">
      <formula>IF(Antriebsart5="Plug-in-Hybrid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G18">
    <cfRule type="cellIs" dxfId="47" priority="51" operator="greaterThan">
      <formula>IF(Antriebsart3="Plug-in-Hybrid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F18">
    <cfRule type="cellIs" dxfId="46" priority="54" operator="greaterThan">
      <formula>IF(Antriebsart2="Plug-in-Hybrid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E25:I25">
    <cfRule type="expression" dxfId="45" priority="14">
      <formula>ISBLANK($C$25)</formula>
    </cfRule>
  </conditionalFormatting>
  <conditionalFormatting sqref="E26:I26">
    <cfRule type="expression" dxfId="44" priority="12">
      <formula>ISBLANK($C$26)</formula>
    </cfRule>
  </conditionalFormatting>
  <conditionalFormatting sqref="E27:I27">
    <cfRule type="expression" dxfId="43" priority="11">
      <formula>ISBLANK($C$27)</formula>
    </cfRule>
  </conditionalFormatting>
  <conditionalFormatting sqref="G19">
    <cfRule type="cellIs" dxfId="42" priority="16" operator="greaterThan">
      <formula>IF(Fahrzeugklasse3=N1I, maxNOX_N1I, IF(Fahrzeugklasse3=N1II, maxNOX_N1II, maxNOX_N1III))</formula>
    </cfRule>
  </conditionalFormatting>
  <conditionalFormatting sqref="H19">
    <cfRule type="cellIs" dxfId="41" priority="50" operator="greaterThan">
      <formula>IF(Fahrzeugklasse4=N1I, maxNOX_N1I, IF(Fahrzeugklasse4=N1II, maxNOX_N1II, maxNOX_N1III))</formula>
    </cfRule>
  </conditionalFormatting>
  <conditionalFormatting sqref="I19">
    <cfRule type="cellIs" dxfId="40" priority="17" operator="greaterThan">
      <formula>IF(Fahrzeugklasse5=N1I, maxNOX_N1I, IF(Fahrzeugklasse5=N1II, maxNOX_N1II, maxNOX_N1III))</formula>
    </cfRule>
  </conditionalFormatting>
  <dataValidations count="18">
    <dataValidation type="list" allowBlank="1" showInputMessage="1" showErrorMessage="1" sqref="E7:I7" xr:uid="{00000000-0002-0000-0200-000000000000}">
      <formula1>AntrArtList</formula1>
    </dataValidation>
    <dataValidation type="list" allowBlank="1" showInputMessage="1" showErrorMessage="1" sqref="F8" xr:uid="{00000000-0002-0000-0200-000001000000}">
      <formula1>EnList2</formula1>
    </dataValidation>
    <dataValidation type="list" allowBlank="1" showInputMessage="1" showErrorMessage="1" sqref="G8" xr:uid="{00000000-0002-0000-0200-000002000000}">
      <formula1>EnList3</formula1>
    </dataValidation>
    <dataValidation type="list" allowBlank="1" showInputMessage="1" showErrorMessage="1" sqref="H8" xr:uid="{00000000-0002-0000-0200-000003000000}">
      <formula1>EnList4</formula1>
    </dataValidation>
    <dataValidation type="list" allowBlank="1" showInputMessage="1" showErrorMessage="1" sqref="I8" xr:uid="{00000000-0002-0000-0200-000004000000}">
      <formula1>EnList5</formula1>
    </dataValidation>
    <dataValidation type="decimal" errorStyle="warning" operator="lessThanOrEqual" allowBlank="1" showErrorMessage="1" errorTitle="NOx-Emissionen zu hoch" error="Das angebotene Fahrzeug überschreitet die maximalen NOx-Emissionen laut Beschaffungsvorschrift." sqref="I19" xr:uid="{00000000-0002-0000-0200-000007000000}">
      <formula1>IF(Fahrzeugklasse5=N1I, maxNOX_N1I, IF(Fahrzeugklasse5=N1II, maxNOX_N1II, maxNOX_N1III))</formula1>
    </dataValidation>
    <dataValidation type="decimal" errorStyle="warning" operator="lessThanOrEqual" allowBlank="1" showErrorMessage="1" errorTitle="Partikel-Emissionen zu hoch" error="Das angebotene Fahrzeug überschreitet die maximalen Partikel-Emissionen laut Beschaffungsvorschrift." sqref="E20:I20" xr:uid="{00000000-0002-0000-0200-000008000000}">
      <formula1>maxPM</formula1>
    </dataValidation>
    <dataValidation type="decimal" errorStyle="warning" operator="greaterThanOrEqual" allowBlank="1" showErrorMessage="1" errorTitle="Elektrische Reichweite" error="Der angebotene PHEV unterschreitet die minimale elektrische Reichweite laut Beschaffungsvorschrift." sqref="E21:I21" xr:uid="{00000000-0002-0000-0200-000009000000}">
      <formula1>minReichwPHEV</formula1>
    </dataValidation>
    <dataValidation type="list" allowBlank="1" showInputMessage="1" showErrorMessage="1" sqref="E8" xr:uid="{00000000-0002-0000-0200-00000A000000}">
      <formula1>EnList1</formula1>
    </dataValidation>
    <dataValidation type="decimal" errorStyle="warning" operator="lessThanOrEqual" allowBlank="1" showErrorMessage="1" errorTitle="Verbrauch zu hoch" error="Das angebotene Fahrzeug überschreitet den Maximalverbrauch laut Beschaffungsvorschrift." sqref="I16" xr:uid="{8E8FA49A-7A0A-459A-817A-B18F44601FC9}">
      <formula1>IF(Antriebsart5="Verbrenner", max_Verbrauch_Verbrenner, IF(Antriebsart5="Plug-in-Hybrid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H16" xr:uid="{F821C963-93DE-4C62-9609-6888B9C31465}">
      <formula1>IF(Antriebsart4="Verbrenner", max_Verbrauch_Verbrenner, IF(Antriebsart4="Plug-in-Hybrid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G16" xr:uid="{1B376C9D-E70A-49DB-A26E-612CF61F6A20}">
      <formula1>IF(Antriebsart3="Verbrenner", max_Verbrauch_Verbrenner, IF(Antriebsart3="Plug-in-Hybrid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F16" xr:uid="{CFC8FFC3-ADFA-416A-A175-3DE105224B7C}">
      <formula1>IF(Antriebsart2="Verbrenner", max_Verbrauch_Verbrenner, IF(Antriebsart2="Plug-in-Hybrid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E16" xr:uid="{C9B36792-9EFA-48F3-9F2F-202D207D8A43}">
      <formula1>IF(Antriebsart1="Verbrenner", max_Verbrauch_Verbrenner, IF(Antriebsart1="Plug-in-Hybrid (PHEV)", max_Verbrauch_PHEV_l, 1000))</formula1>
    </dataValidation>
    <dataValidation type="decimal" errorStyle="warning" operator="lessThanOrEqual" allowBlank="1" showErrorMessage="1" errorTitle="NOx-Emissionen zu hoch" error="Das angebotene Fahrzeug überschreitet die maximalen NOx-Emissionen laut Beschaffungsvorschrift." sqref="E19" xr:uid="{1B613B25-CCA0-43EE-A411-A00280FE65FD}">
      <formula1>IF(Fahrzeugklasse1=N1I, maxNOX_N1I, IF(Fahrzeugklasse1=N1II, maxNOX_N1II, maxNOX_N1III))</formula1>
    </dataValidation>
    <dataValidation type="decimal" errorStyle="warning" operator="lessThanOrEqual" allowBlank="1" showErrorMessage="1" errorTitle="NOx-Emissionen zu hoch" error="Das angebotene Fahrzeug überschreitet die maximalen NOx-Emissionen laut Beschaffungsvorschrift." sqref="F19" xr:uid="{7E06D477-89F5-46D0-91BF-6920FF3A689B}">
      <formula1>IF(Fahrzeugklasse2=N1I, maxNOX_N1I, IF(Fahrzeugklasse2=N1II, maxNOX_N1II, maxNOX_N1III))</formula1>
    </dataValidation>
    <dataValidation type="decimal" errorStyle="warning" operator="lessThanOrEqual" allowBlank="1" showErrorMessage="1" errorTitle="NOx-Emissionen zu hoch" error="Das angebotene Fahrzeug überschreitet die maximalen NOx-Emissionen laut Beschaffungsvorschrift." sqref="G19" xr:uid="{C033488D-AB39-4BA5-939A-802C693478B7}">
      <formula1>IF(Fahrzeugklasse3=N1I, maxNOX_N1I, IF(Fahrzeugklasse3=N1II, maxNOX_N1II, maxNOX_N1III))</formula1>
    </dataValidation>
    <dataValidation type="decimal" errorStyle="warning" operator="lessThanOrEqual" allowBlank="1" showErrorMessage="1" errorTitle="NOx-Emissionen zu hoch" error="Das angebotene Fahrzeug überschreitet die maximalen NOx-Emissionen laut Beschaffungsvorschrift." sqref="H19" xr:uid="{683C324F-48F0-4546-8A92-DE0C3DED7667}">
      <formula1>IF(Fahrzeugklasse4=N1I, maxNOX_N1I, IF(Fahrzeugklasse4=N1II, maxNOX_N1II, maxNOX_N1III))</formula1>
    </dataValidation>
  </dataValidations>
  <hyperlinks>
    <hyperlink ref="K2" location="Anleitung!A1" display="zurück zu &quot;Anleitung&quot;" xr:uid="{00000000-0004-0000-0200-000000000000}"/>
    <hyperlink ref="E29:I29" location="Grunddaten!A1" display="Bei diesen Werten wird geprüft, ob sie Ihrer Beschaffungsvorschrift ent-sprechen. Ggf. müssen Sie die voreingestellen Mindestanforderungen mit Ihren spezifischen Anforderungen abgleichen (Tabellenblatt &quot;Grunddaten&quot;). " xr:uid="{00000000-0004-0000-0200-000001000000}"/>
  </hyperlinks>
  <pageMargins left="0.7" right="0.7" top="0.78740157499999996" bottom="0.78740157499999996" header="0.3" footer="0.3"/>
  <pageSetup paperSize="9" orientation="portrait" r:id="rId1"/>
  <ignoredErrors>
    <ignoredError sqref="E28:I28 E23:F23"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3B2114D-B0EF-4F1C-9D9B-2D52989D83C3}">
          <x14:formula1>
            <xm:f>Listen!$B$41:$B$43</xm:f>
          </x14:formula1>
          <xm:sqref>E13:I13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CC"/>
    <pageSetUpPr fitToPage="1"/>
  </sheetPr>
  <dimension ref="A1:J38"/>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 width="11.5546875" style="1"/>
    <col min="17" max="17" width="10.6640625" style="1" customWidth="1"/>
    <col min="18" max="16384" width="11.5546875" style="1"/>
  </cols>
  <sheetData>
    <row r="1" spans="1:10" ht="14.4" x14ac:dyDescent="0.3">
      <c r="B1" s="118" t="s">
        <v>454</v>
      </c>
      <c r="C1" s="118"/>
      <c r="D1" s="118"/>
      <c r="E1" s="118"/>
      <c r="F1" s="119"/>
      <c r="G1" s="119"/>
      <c r="H1" s="119"/>
    </row>
    <row r="2" spans="1:10" ht="14.4" x14ac:dyDescent="0.25">
      <c r="A2" s="97" t="s">
        <v>11</v>
      </c>
      <c r="B2" s="65" t="s">
        <v>430</v>
      </c>
      <c r="C2" s="227"/>
      <c r="D2" s="230" t="str">
        <f>IF(I29&gt;0,"Resultate ungültig - Eingabewerte fehlen !","")</f>
        <v/>
      </c>
      <c r="E2" s="229"/>
      <c r="F2" s="229"/>
      <c r="G2" s="229"/>
      <c r="H2" s="20"/>
      <c r="J2" s="106" t="s">
        <v>20</v>
      </c>
    </row>
    <row r="3" spans="1:10" x14ac:dyDescent="0.25">
      <c r="A3" s="18"/>
      <c r="B3" s="18"/>
      <c r="C3" s="18"/>
      <c r="D3" s="19"/>
      <c r="E3" s="19"/>
      <c r="F3" s="19"/>
      <c r="G3" s="19"/>
      <c r="H3" s="19"/>
    </row>
    <row r="4" spans="1:10" x14ac:dyDescent="0.25">
      <c r="A4" s="18"/>
      <c r="B4" s="154" t="s">
        <v>84</v>
      </c>
      <c r="C4" s="3"/>
      <c r="D4" s="3"/>
      <c r="E4" s="3"/>
      <c r="F4" s="3"/>
      <c r="G4" s="3"/>
      <c r="H4" s="3"/>
    </row>
    <row r="5" spans="1:10" x14ac:dyDescent="0.25">
      <c r="A5" s="18"/>
    </row>
    <row r="6" spans="1:10" ht="14.4" customHeight="1" x14ac:dyDescent="0.25">
      <c r="A6" s="18"/>
      <c r="B6" s="12" t="s">
        <v>442</v>
      </c>
      <c r="C6" s="439" t="str">
        <f>IF(Projektname=0,"",Projektname)</f>
        <v>Los 1 - Kauf von einem leichten Nutzfahrzeug mit einer Zuladung von mind. 800 kg</v>
      </c>
      <c r="D6" s="440"/>
      <c r="E6" s="440"/>
      <c r="F6" s="440"/>
      <c r="G6" s="440"/>
      <c r="H6" s="441"/>
    </row>
    <row r="7" spans="1:10" ht="14.4" customHeight="1" x14ac:dyDescent="0.25">
      <c r="A7" s="18"/>
      <c r="B7" s="12"/>
      <c r="C7" s="442"/>
      <c r="D7" s="443"/>
      <c r="E7" s="443"/>
      <c r="F7" s="443"/>
      <c r="G7" s="443"/>
      <c r="H7" s="444"/>
    </row>
    <row r="8" spans="1:10" ht="14.4" customHeight="1" x14ac:dyDescent="0.25">
      <c r="A8" s="18"/>
      <c r="B8" s="12"/>
      <c r="C8" s="445"/>
      <c r="D8" s="446"/>
      <c r="E8" s="446"/>
      <c r="F8" s="446"/>
      <c r="G8" s="446"/>
      <c r="H8" s="447"/>
    </row>
    <row r="9" spans="1:10" ht="14.4" x14ac:dyDescent="0.3">
      <c r="A9" s="18"/>
      <c r="B9" s="74" t="s">
        <v>22</v>
      </c>
      <c r="C9" s="82" t="str">
        <f>IF(Unternehmen=0,"",Unternehmen)</f>
        <v>Landratsamt Bärstedt</v>
      </c>
      <c r="D9" s="83"/>
      <c r="E9" s="83"/>
      <c r="F9" s="83"/>
      <c r="G9" s="83"/>
      <c r="H9" s="84"/>
    </row>
    <row r="10" spans="1:10" ht="14.4" x14ac:dyDescent="0.3">
      <c r="A10" s="18"/>
      <c r="B10" s="12" t="s">
        <v>24</v>
      </c>
      <c r="C10" s="82" t="str">
        <f>IF(Zustaendig=0,"",Zustaendig)</f>
        <v>Erika Musterfrau</v>
      </c>
      <c r="D10" s="83"/>
      <c r="E10" s="83"/>
      <c r="F10" s="83"/>
      <c r="G10" s="83"/>
      <c r="H10" s="84"/>
    </row>
    <row r="11" spans="1:10" ht="14.4" x14ac:dyDescent="0.3">
      <c r="A11" s="18"/>
      <c r="B11" s="12" t="s">
        <v>26</v>
      </c>
      <c r="C11" s="435">
        <f>IF(Datum=0,"",Datum)</f>
        <v>45588</v>
      </c>
      <c r="D11" s="436"/>
      <c r="E11" s="79"/>
      <c r="F11" s="81"/>
      <c r="G11" s="81"/>
      <c r="H11" s="78"/>
    </row>
    <row r="12" spans="1:10" ht="14.4" x14ac:dyDescent="0.3">
      <c r="A12" s="18"/>
      <c r="B12" s="12"/>
      <c r="C12" s="76"/>
      <c r="E12" s="58" t="s">
        <v>428</v>
      </c>
      <c r="F12" s="85">
        <f>Fahrleistung</f>
        <v>25000</v>
      </c>
      <c r="G12" s="86" t="s">
        <v>27</v>
      </c>
      <c r="H12" s="80"/>
    </row>
    <row r="13" spans="1:10" ht="14.4" x14ac:dyDescent="0.3">
      <c r="A13" s="18"/>
      <c r="B13" s="58"/>
      <c r="C13" s="77"/>
      <c r="E13" s="73" t="s">
        <v>30</v>
      </c>
      <c r="F13" s="87">
        <f>Haltedauer</f>
        <v>7</v>
      </c>
      <c r="G13" s="86" t="s">
        <v>31</v>
      </c>
      <c r="H13" s="80"/>
    </row>
    <row r="14" spans="1:10" x14ac:dyDescent="0.25">
      <c r="A14" s="18"/>
      <c r="B14" s="18"/>
      <c r="C14" s="18"/>
      <c r="D14" s="19"/>
      <c r="E14" s="19"/>
      <c r="F14" s="19"/>
      <c r="G14" s="19"/>
      <c r="H14" s="19"/>
    </row>
    <row r="15" spans="1:10" x14ac:dyDescent="0.25">
      <c r="A15" s="18"/>
      <c r="B15" s="293" t="s">
        <v>85</v>
      </c>
      <c r="C15" s="21"/>
      <c r="D15" s="21"/>
      <c r="E15" s="21"/>
      <c r="F15" s="21"/>
      <c r="G15" s="21"/>
      <c r="H15" s="22"/>
    </row>
    <row r="16" spans="1:10" x14ac:dyDescent="0.25">
      <c r="A16" s="18"/>
      <c r="B16" s="37" t="s">
        <v>43</v>
      </c>
      <c r="C16" s="23"/>
      <c r="D16" s="24">
        <v>1</v>
      </c>
      <c r="E16" s="24">
        <v>2</v>
      </c>
      <c r="F16" s="24">
        <v>3</v>
      </c>
      <c r="G16" s="24">
        <v>4</v>
      </c>
      <c r="H16" s="25">
        <v>5</v>
      </c>
    </row>
    <row r="17" spans="1:9" ht="78.75" customHeight="1" x14ac:dyDescent="0.25">
      <c r="A17" s="18"/>
      <c r="B17" s="38"/>
      <c r="C17" s="39"/>
      <c r="D17" s="40" t="str">
        <f>CONCATENATE(Erg.Fzg._1!$C$10," ",Erg.Fzg._1!$C$11," ",Erg.Fzg._1!$C$13," ",Erg.Fzg._1!$C$14)</f>
        <v>Peugeot Expert Verbrenner Diesel</v>
      </c>
      <c r="E17" s="40" t="str">
        <f>CONCATENATE(Erg.Fzg._2!$C$10," ",Erg.Fzg._2!$C$11," ",Erg.Fzg._2!$C$13," ",Erg.Fzg._2!$C$14)</f>
        <v>Toyota Proace City Verbrenner Diesel</v>
      </c>
      <c r="F17" s="40" t="str">
        <f>CONCATENATE(Erg.Fzg._3!$C$10," ",Erg.Fzg._3!$C$11," ",Erg.Fzg._3!$C$13," ",Erg.Fzg._3!$C$14)</f>
        <v>Fiat Scudo Verbrenner Diesel</v>
      </c>
      <c r="G17" s="40" t="str">
        <f>CONCATENATE(Erg.Fzg._4!$C$10," ",Erg.Fzg._4!$C$11," ",Erg.Fzg._4!$C$13," ",Erg.Fzg._4!$C$14)</f>
        <v>Fiat E-Scudo Vollelektrisch (BEV) Strom</v>
      </c>
      <c r="H17" s="26" t="str">
        <f>CONCATENATE(Erg.Fzg._5!$C$10," ",Erg.Fzg._5!$C$11," ",Erg.Fzg._5!$C$13," ",Erg.Fzg._5!$C$14)</f>
        <v>Opel Combo Electric Vollelektrisch (BEV) Strom</v>
      </c>
    </row>
    <row r="18" spans="1:9" x14ac:dyDescent="0.25">
      <c r="A18" s="18"/>
      <c r="B18" s="177" t="s">
        <v>86</v>
      </c>
      <c r="C18" s="178" t="s">
        <v>65</v>
      </c>
      <c r="D18" s="179">
        <f>IF(FinArt="Kauf",Gesamtpreis1,"")</f>
        <v>36771</v>
      </c>
      <c r="E18" s="179">
        <f>IF(FinArt="Kauf",Gesamtpreis2,"")</f>
        <v>35331</v>
      </c>
      <c r="F18" s="179">
        <f>IF(FinArt="Kauf",Gesamtpreis3,"")</f>
        <v>35641</v>
      </c>
      <c r="G18" s="179">
        <f>IF(FinArt="Kauf",Gesamtpreis4,"")</f>
        <v>45756</v>
      </c>
      <c r="H18" s="180">
        <f>IF(FinArt="Kauf",Gesamtpreis5,"")</f>
        <v>37118</v>
      </c>
      <c r="I18" s="107"/>
    </row>
    <row r="19" spans="1:9" ht="14.4" x14ac:dyDescent="0.25">
      <c r="A19" s="321" t="s">
        <v>11</v>
      </c>
      <c r="B19" s="338" t="str">
        <f>IF(FinArt="Kauf",KaufpreisRech,"Fahrzeugkosten (Leasingrate/Miete)")</f>
        <v>Wertminderung</v>
      </c>
      <c r="C19" s="18" t="s">
        <v>65</v>
      </c>
      <c r="D19" s="41">
        <f>Erg.Fzg._1!$C$54+Erg.Fzg._1!$C$55</f>
        <v>26555.355418182582</v>
      </c>
      <c r="E19" s="41">
        <f>Erg.Fzg._2!$C$54+Erg.Fzg._2!$C$55</f>
        <v>25515.413295254653</v>
      </c>
      <c r="F19" s="41">
        <f>Erg.Fzg._3!$C$54+Erg.Fzg._3!$C$55</f>
        <v>25739.289724496084</v>
      </c>
      <c r="G19" s="41">
        <f>Erg.Fzg._4!$C$54+Erg.Fzg._4!$C$55</f>
        <v>33044.160956034983</v>
      </c>
      <c r="H19" s="337">
        <f>Erg.Fzg._5!$C$54+Erg.Fzg._5!$C$55</f>
        <v>26805.952582527021</v>
      </c>
    </row>
    <row r="20" spans="1:9" x14ac:dyDescent="0.25">
      <c r="A20" s="336"/>
      <c r="B20" s="45" t="s">
        <v>87</v>
      </c>
      <c r="C20" s="18" t="s">
        <v>65</v>
      </c>
      <c r="D20" s="41">
        <f>Erg.Fzg._1!$C$56</f>
        <v>14337.399999999998</v>
      </c>
      <c r="E20" s="41">
        <f>Erg.Fzg._2!$C$56</f>
        <v>16678.2</v>
      </c>
      <c r="F20" s="41">
        <f>Erg.Fzg._3!$C$56</f>
        <v>22237.599999999999</v>
      </c>
      <c r="G20" s="41">
        <f>Erg.Fzg._4!$C$56</f>
        <v>21874.649999999998</v>
      </c>
      <c r="H20" s="42">
        <f>Erg.Fzg._5!$C$56</f>
        <v>16340.100000000002</v>
      </c>
    </row>
    <row r="21" spans="1:9" x14ac:dyDescent="0.25">
      <c r="A21" s="437" t="s">
        <v>11</v>
      </c>
      <c r="B21" s="27" t="s">
        <v>88</v>
      </c>
      <c r="C21" s="28" t="s">
        <v>65</v>
      </c>
      <c r="D21" s="43">
        <f>Erg.Fzg._1!$C$57</f>
        <v>19781.125</v>
      </c>
      <c r="E21" s="43">
        <f>Erg.Fzg._2!$C$57</f>
        <v>22580.774999999998</v>
      </c>
      <c r="F21" s="43">
        <f>Erg.Fzg._3!$C$57</f>
        <v>29959.825000000004</v>
      </c>
      <c r="G21" s="43">
        <f>Erg.Fzg._4!$C$57</f>
        <v>0</v>
      </c>
      <c r="H21" s="44">
        <f>Erg.Fzg._5!$C$57</f>
        <v>0</v>
      </c>
    </row>
    <row r="22" spans="1:9" ht="14.4" customHeight="1" x14ac:dyDescent="0.25">
      <c r="A22" s="437"/>
      <c r="B22" s="27" t="s">
        <v>89</v>
      </c>
      <c r="C22" s="28" t="s">
        <v>65</v>
      </c>
      <c r="D22" s="43">
        <f>Erg.Fzg._1!C41*Haltedauer</f>
        <v>6133.7114197632009</v>
      </c>
      <c r="E22" s="43">
        <f>Erg.Fzg._2!C41*Haltedauer</f>
        <v>7135.1336923776016</v>
      </c>
      <c r="F22" s="43">
        <f>Erg.Fzg._3!C41*Haltedauer</f>
        <v>9513.5115898368003</v>
      </c>
      <c r="G22" s="43">
        <f>Erg.Fzg._4!C41*Haltedauer</f>
        <v>10905.079499999996</v>
      </c>
      <c r="H22" s="44">
        <f>Erg.Fzg._5!C41*Haltedauer</f>
        <v>8145.9630000000006</v>
      </c>
      <c r="I22" s="107"/>
    </row>
    <row r="23" spans="1:9" x14ac:dyDescent="0.25">
      <c r="A23" s="438"/>
      <c r="B23" s="45" t="s">
        <v>90</v>
      </c>
      <c r="C23" s="325" t="s">
        <v>65</v>
      </c>
      <c r="D23" s="326">
        <f>Erg.Fzg._1!$C$59</f>
        <v>0</v>
      </c>
      <c r="E23" s="326">
        <f>Erg.Fzg._2!$C$59</f>
        <v>0</v>
      </c>
      <c r="F23" s="326">
        <f>Erg.Fzg._3!$C$59</f>
        <v>0</v>
      </c>
      <c r="G23" s="326">
        <f>Erg.Fzg._4!$C$59</f>
        <v>2873.181818181818</v>
      </c>
      <c r="H23" s="42">
        <f>Erg.Fzg._5!$C$59</f>
        <v>4309.7727272727279</v>
      </c>
    </row>
    <row r="24" spans="1:9" x14ac:dyDescent="0.25">
      <c r="A24" s="437" t="s">
        <v>11</v>
      </c>
      <c r="B24" s="332" t="str">
        <f>IF(ISBLANK(Zusatzangabe_x), "", Zusatzangabe_x)</f>
        <v>Kfz-Steuer</v>
      </c>
      <c r="C24" s="323" t="str">
        <f>IF(ISBLANK(Zusatzangabe_x), "", "EUR")</f>
        <v>EUR</v>
      </c>
      <c r="D24" s="324">
        <f>Erg.Fzg._1!$C$60</f>
        <v>1120</v>
      </c>
      <c r="E24" s="324">
        <f>Erg.Fzg._2!$C$60</f>
        <v>952</v>
      </c>
      <c r="F24" s="324">
        <f>Erg.Fzg._3!$C$60</f>
        <v>1204</v>
      </c>
      <c r="G24" s="324">
        <f>Erg.Fzg._4!$C$60</f>
        <v>0</v>
      </c>
      <c r="H24" s="42">
        <f>Erg.Fzg._5!$C$60</f>
        <v>0</v>
      </c>
    </row>
    <row r="25" spans="1:9" x14ac:dyDescent="0.25">
      <c r="A25" s="437"/>
      <c r="B25" s="332" t="str">
        <f>IF(ISBLANK(Zusatzangabe_y), "", Zusatzangabe_y)</f>
        <v/>
      </c>
      <c r="C25" s="323" t="str">
        <f>IF(ISBLANK(Zusatzangabe_y), "", "EUR")</f>
        <v/>
      </c>
      <c r="D25" s="324" t="str">
        <f>Erg.Fzg._1!$C$61</f>
        <v/>
      </c>
      <c r="E25" s="324" t="str">
        <f>Erg.Fzg._2!$C$61</f>
        <v/>
      </c>
      <c r="F25" s="324" t="str">
        <f>Erg.Fzg._3!$C$61</f>
        <v/>
      </c>
      <c r="G25" s="324" t="str">
        <f>Erg.Fzg._4!$C$61</f>
        <v/>
      </c>
      <c r="H25" s="42" t="str">
        <f>Erg.Fzg._5!$C$61</f>
        <v/>
      </c>
      <c r="I25" s="6"/>
    </row>
    <row r="26" spans="1:9" x14ac:dyDescent="0.25">
      <c r="A26" s="437"/>
      <c r="B26" s="332" t="str">
        <f>IF(ISBLANK(Zusatzangabe_z), "", Zusatzangabe_z)</f>
        <v/>
      </c>
      <c r="C26" s="323" t="str">
        <f>IF(ISBLANK(Zusatzangabe_z), "", "EUR")</f>
        <v/>
      </c>
      <c r="D26" s="324" t="str">
        <f>Erg.Fzg._1!$C$62</f>
        <v/>
      </c>
      <c r="E26" s="324" t="str">
        <f>Erg.Fzg._2!$C$62</f>
        <v/>
      </c>
      <c r="F26" s="324" t="str">
        <f>Erg.Fzg._3!$C$62</f>
        <v/>
      </c>
      <c r="G26" s="324" t="str">
        <f>Erg.Fzg._4!$C$62</f>
        <v/>
      </c>
      <c r="H26" s="48" t="str">
        <f>Erg.Fzg._5!$C$62</f>
        <v/>
      </c>
    </row>
    <row r="27" spans="1:9" ht="14.4" thickBot="1" x14ac:dyDescent="0.3">
      <c r="A27" s="18"/>
      <c r="B27" s="49" t="s">
        <v>91</v>
      </c>
      <c r="C27" s="50" t="s">
        <v>65</v>
      </c>
      <c r="D27" s="51">
        <f>IF(SUM(D19:D26)=0,"",SUM(D19:D26))</f>
        <v>67927.591837945787</v>
      </c>
      <c r="E27" s="51">
        <f t="shared" ref="E27:G27" si="0">IF(SUM(E19:E26)=0,"",SUM(E19:E26))</f>
        <v>72861.521987632252</v>
      </c>
      <c r="F27" s="51">
        <f t="shared" si="0"/>
        <v>88654.226314332889</v>
      </c>
      <c r="G27" s="51">
        <f t="shared" si="0"/>
        <v>68697.0722742168</v>
      </c>
      <c r="H27" s="52">
        <f>IF(SUM(H19:H26)=0,"",SUM(H19:H26))</f>
        <v>55601.788309799755</v>
      </c>
    </row>
    <row r="28" spans="1:9" ht="15" thickTop="1" thickBot="1" x14ac:dyDescent="0.3">
      <c r="A28" s="18"/>
      <c r="B28" s="75" t="s">
        <v>92</v>
      </c>
      <c r="C28" s="50"/>
      <c r="D28" s="51">
        <f t="shared" ref="D28:F28" si="1">IFERROR(_xlfn.RANK.EQ(D27,$D$27:$H$27,1),"")</f>
        <v>2</v>
      </c>
      <c r="E28" s="51">
        <f t="shared" si="1"/>
        <v>4</v>
      </c>
      <c r="F28" s="51">
        <f t="shared" si="1"/>
        <v>5</v>
      </c>
      <c r="G28" s="51">
        <f>IFERROR(_xlfn.RANK.EQ(G27,$D$27:$H$27,1),"")</f>
        <v>3</v>
      </c>
      <c r="H28" s="52">
        <f>IFERROR(_xlfn.RANK.EQ(H27,$D$27:$H$27,1),"")</f>
        <v>1</v>
      </c>
      <c r="I28" s="107"/>
    </row>
    <row r="29" spans="1:9" ht="20.399999999999999" customHeight="1" thickTop="1" x14ac:dyDescent="0.25">
      <c r="A29" s="18"/>
      <c r="B29" s="108" t="s">
        <v>93</v>
      </c>
      <c r="C29" s="66" t="s">
        <v>81</v>
      </c>
      <c r="D29" s="231">
        <f>IF(AND(COUNTIF(D19:D23,0)&gt;0,Antriebsart1="Plug-In-Hybrid (PHEV)"),1,IF(AND(COUNTIF(D19:D23,0)&gt;1,Antriebsart1&lt;&gt;0),1,0))</f>
        <v>0</v>
      </c>
      <c r="E29" s="231">
        <f>IF(AND(COUNTIF(E19:E23,0)&gt;0,Antriebsart2="Plug-In-Hybrid (PHEV)"),1,IF(AND(COUNTIF(E19:E23,0)&gt;1,Antriebsart2&lt;&gt;0),1,0))</f>
        <v>0</v>
      </c>
      <c r="F29" s="231">
        <f>IF(AND(COUNTIF(F19:F23,0)&gt;0,Antriebsart3="Plug-In-Hybrid (PHEV)"),1,IF(AND(COUNTIF(F19:F23,0)&gt;1,Antriebsart3&lt;&gt;0),1,0))</f>
        <v>0</v>
      </c>
      <c r="G29" s="231">
        <f>IF(AND(COUNTIF(G19:G23,0)&gt;0,Antriebsart4="Plug-In-Hybrid (PHEV)"),1,IF(AND(COUNTIF(G19:G23,0)&gt;1,Antriebsart4&lt;&gt;0),1,0))</f>
        <v>0</v>
      </c>
      <c r="H29" s="232">
        <f>IF(AND(COUNTIF(H19:H23,0)&gt;0,Antriebsart5="Plug-In-Hybrid (PHEV)"),1,IF(AND(COUNTIF(H19:H23,0)&gt;1,Antriebsart5&lt;&gt;0),1,0))</f>
        <v>0</v>
      </c>
      <c r="I29" s="233">
        <f>SUM(D29:H29)+Eingabe_Angebotswerte!J23+Eingabe_Angebotswerte!J28</f>
        <v>0</v>
      </c>
    </row>
    <row r="30" spans="1:9" ht="25.95" customHeight="1" x14ac:dyDescent="0.25">
      <c r="A30" s="33"/>
      <c r="B30" s="34" t="s">
        <v>94</v>
      </c>
      <c r="C30" s="316" t="s">
        <v>95</v>
      </c>
      <c r="D30" s="314">
        <f>Erg.Fzg._1!$C$65</f>
        <v>0</v>
      </c>
      <c r="E30" s="314">
        <f>Erg.Fzg._2!$C$65</f>
        <v>0</v>
      </c>
      <c r="F30" s="314">
        <f>Erg.Fzg._3!$C$65</f>
        <v>0</v>
      </c>
      <c r="G30" s="314">
        <f>Erg.Fzg._4!$C$65</f>
        <v>3.3409090909090908</v>
      </c>
      <c r="H30" s="315">
        <f>Erg.Fzg._5!$C$65</f>
        <v>5.0113636363636367</v>
      </c>
    </row>
    <row r="31" spans="1:9" ht="27" customHeight="1" x14ac:dyDescent="0.25">
      <c r="A31" s="309"/>
      <c r="B31" s="98" t="s">
        <v>453</v>
      </c>
      <c r="C31" s="317" t="s">
        <v>95</v>
      </c>
      <c r="D31" s="318">
        <f>Erg.Fzg._1!$C$66</f>
        <v>29.882222581120001</v>
      </c>
      <c r="E31" s="318">
        <f>Erg.Fzg._2!$C$66</f>
        <v>34.371667084160002</v>
      </c>
      <c r="F31" s="318">
        <f>Erg.Fzg._3!$C$66</f>
        <v>45.712222778879998</v>
      </c>
      <c r="G31" s="318">
        <f>Erg.Fzg._4!$C$66</f>
        <v>12.680324999999995</v>
      </c>
      <c r="H31" s="319">
        <f>Erg.Fzg._5!$C$66</f>
        <v>9.4720500000000012</v>
      </c>
      <c r="I31" s="91"/>
    </row>
    <row r="32" spans="1:9" ht="14.4" customHeight="1" x14ac:dyDescent="0.25">
      <c r="A32" s="309"/>
      <c r="B32" s="310" t="s">
        <v>441</v>
      </c>
      <c r="C32" s="311" t="s">
        <v>440</v>
      </c>
      <c r="D32" s="312">
        <f>SUM(D30:D31)</f>
        <v>29.882222581120001</v>
      </c>
      <c r="E32" s="312">
        <f t="shared" ref="E32:H32" si="2">SUM(E30:E31)</f>
        <v>34.371667084160002</v>
      </c>
      <c r="F32" s="312">
        <f t="shared" si="2"/>
        <v>45.712222778879998</v>
      </c>
      <c r="G32" s="312">
        <f t="shared" si="2"/>
        <v>16.021234090909086</v>
      </c>
      <c r="H32" s="313">
        <f t="shared" si="2"/>
        <v>14.483413636363638</v>
      </c>
      <c r="I32" s="91"/>
    </row>
    <row r="34" spans="2:9" x14ac:dyDescent="0.25">
      <c r="B34" s="293" t="s">
        <v>99</v>
      </c>
      <c r="C34" s="21"/>
      <c r="D34" s="21"/>
      <c r="E34" s="21"/>
      <c r="F34" s="21"/>
      <c r="G34" s="21"/>
      <c r="H34" s="22"/>
    </row>
    <row r="35" spans="2:9" ht="363.6" customHeight="1" x14ac:dyDescent="0.25">
      <c r="B35" s="6"/>
      <c r="D35" s="10"/>
      <c r="E35" s="10"/>
      <c r="F35" s="10"/>
      <c r="G35" s="10"/>
      <c r="H35" s="100"/>
      <c r="I35" s="109"/>
    </row>
    <row r="36" spans="2:9" ht="15" customHeight="1" x14ac:dyDescent="0.25">
      <c r="B36" s="120">
        <f>D28</f>
        <v>2</v>
      </c>
      <c r="C36" s="121">
        <f>E28</f>
        <v>4</v>
      </c>
      <c r="D36" s="123">
        <f>F28</f>
        <v>5</v>
      </c>
      <c r="E36" s="123"/>
      <c r="F36" s="122">
        <f>G28</f>
        <v>3</v>
      </c>
      <c r="G36" s="123">
        <f>H28</f>
        <v>1</v>
      </c>
      <c r="H36" s="101"/>
      <c r="I36" s="107"/>
    </row>
    <row r="37" spans="2:9" x14ac:dyDescent="0.25">
      <c r="D37" s="10"/>
      <c r="E37" s="10"/>
      <c r="F37" s="10"/>
      <c r="G37" s="10"/>
      <c r="H37" s="10"/>
    </row>
    <row r="38" spans="2:9" x14ac:dyDescent="0.25">
      <c r="B38" s="107"/>
    </row>
  </sheetData>
  <sheetProtection sheet="1" objects="1" scenarios="1"/>
  <mergeCells count="4">
    <mergeCell ref="C11:D11"/>
    <mergeCell ref="A21:A23"/>
    <mergeCell ref="A24:A26"/>
    <mergeCell ref="C6:H8"/>
  </mergeCells>
  <conditionalFormatting sqref="D28:H28">
    <cfRule type="colorScale" priority="22">
      <colorScale>
        <cfvo type="min"/>
        <cfvo type="percent" val="20"/>
        <cfvo type="max"/>
        <color rgb="FF63BE7B"/>
        <color rgb="FFFFEB84"/>
        <color rgb="FFF8696B"/>
      </colorScale>
    </cfRule>
  </conditionalFormatting>
  <conditionalFormatting sqref="B18:H18">
    <cfRule type="expression" dxfId="39" priority="20">
      <formula>AND(KaufpreisRech="Wertminderung",FinArt="Kauf")</formula>
    </cfRule>
  </conditionalFormatting>
  <conditionalFormatting sqref="F17">
    <cfRule type="expression" dxfId="38" priority="16">
      <formula>"ISTLEER(Gesamtpreis3)"</formula>
    </cfRule>
  </conditionalFormatting>
  <conditionalFormatting sqref="C2:G2">
    <cfRule type="expression" dxfId="37" priority="11">
      <formula>$I$29=0</formula>
    </cfRule>
  </conditionalFormatting>
  <conditionalFormatting sqref="B36:D36 F36:G36">
    <cfRule type="top10" dxfId="36" priority="80" percent="1" bottom="1" rank="10"/>
    <cfRule type="top10" dxfId="35" priority="81" percent="1" rank="10"/>
    <cfRule type="aboveAverage" dxfId="34" priority="82"/>
    <cfRule type="aboveAverage" dxfId="33" priority="83" aboveAverage="0"/>
    <cfRule type="aboveAverage" dxfId="32" priority="84" equalAverage="1"/>
  </conditionalFormatting>
  <conditionalFormatting sqref="E36">
    <cfRule type="top10" dxfId="31" priority="1" percent="1" bottom="1" rank="10"/>
    <cfRule type="top10" dxfId="30" priority="2" percent="1" rank="10"/>
    <cfRule type="aboveAverage" dxfId="29" priority="3"/>
    <cfRule type="aboveAverage" dxfId="28" priority="4" aboveAverage="0"/>
    <cfRule type="aboveAverage" dxfId="27" priority="5" equalAverage="1"/>
  </conditionalFormatting>
  <hyperlinks>
    <hyperlink ref="J2" location="Anleitung!A1" display="zurück zu &quot;Anleitung&quot;" xr:uid="{00000000-0004-0000-0300-000000000000}"/>
  </hyperlinks>
  <pageMargins left="0.43307086614173229" right="0.23622047244094491" top="0.74803149606299213" bottom="0.74803149606299213" header="0.31496062992125984" footer="0.31496062992125984"/>
  <pageSetup paperSize="9" scale="7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pageSetUpPr fitToPage="1"/>
  </sheetPr>
  <dimension ref="A1:J33"/>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384" width="11.5546875" style="1"/>
  </cols>
  <sheetData>
    <row r="1" spans="1:10" ht="14.4" x14ac:dyDescent="0.3">
      <c r="B1" s="118" t="s">
        <v>454</v>
      </c>
      <c r="C1" s="118"/>
      <c r="D1" s="118"/>
      <c r="E1" s="118"/>
      <c r="F1" s="119"/>
      <c r="G1" s="119"/>
      <c r="H1" s="119"/>
    </row>
    <row r="2" spans="1:10" ht="14.4" x14ac:dyDescent="0.25">
      <c r="A2" s="320" t="s">
        <v>11</v>
      </c>
      <c r="B2" s="65" t="s">
        <v>431</v>
      </c>
      <c r="C2" s="227"/>
      <c r="D2" s="230" t="str">
        <f>IF(I24&gt;0,"Resultate ungültig - Eingabewerte fehlen !","")</f>
        <v/>
      </c>
      <c r="E2" s="229"/>
      <c r="F2" s="229"/>
      <c r="G2" s="229"/>
      <c r="H2" s="20"/>
      <c r="J2" s="106" t="s">
        <v>20</v>
      </c>
    </row>
    <row r="3" spans="1:10" x14ac:dyDescent="0.25">
      <c r="A3" s="18"/>
      <c r="B3" s="18"/>
      <c r="C3" s="18"/>
      <c r="D3" s="19"/>
      <c r="E3" s="19"/>
      <c r="F3" s="19"/>
      <c r="G3" s="19"/>
      <c r="H3" s="19"/>
    </row>
    <row r="4" spans="1:10" x14ac:dyDescent="0.25">
      <c r="A4" s="18"/>
      <c r="B4" s="154" t="s">
        <v>84</v>
      </c>
      <c r="C4" s="3"/>
      <c r="D4" s="3"/>
      <c r="E4" s="3"/>
      <c r="F4" s="3"/>
      <c r="G4" s="3"/>
      <c r="H4" s="3"/>
    </row>
    <row r="5" spans="1:10" x14ac:dyDescent="0.25">
      <c r="A5" s="18"/>
    </row>
    <row r="6" spans="1:10" ht="14.4" customHeight="1" x14ac:dyDescent="0.25">
      <c r="A6" s="18"/>
      <c r="B6" s="12" t="s">
        <v>442</v>
      </c>
      <c r="C6" s="439" t="str">
        <f>IF(Projektname=0,"",Projektname)</f>
        <v>Los 1 - Kauf von einem leichten Nutzfahrzeug mit einer Zuladung von mind. 800 kg</v>
      </c>
      <c r="D6" s="440"/>
      <c r="E6" s="440"/>
      <c r="F6" s="440"/>
      <c r="G6" s="440"/>
      <c r="H6" s="441"/>
    </row>
    <row r="7" spans="1:10" ht="14.4" customHeight="1" x14ac:dyDescent="0.25">
      <c r="A7" s="18"/>
      <c r="B7" s="12"/>
      <c r="C7" s="442"/>
      <c r="D7" s="443"/>
      <c r="E7" s="443"/>
      <c r="F7" s="443"/>
      <c r="G7" s="443"/>
      <c r="H7" s="444"/>
    </row>
    <row r="8" spans="1:10" ht="14.4" customHeight="1" x14ac:dyDescent="0.25">
      <c r="A8" s="18"/>
      <c r="B8" s="12"/>
      <c r="C8" s="445"/>
      <c r="D8" s="446"/>
      <c r="E8" s="446"/>
      <c r="F8" s="446"/>
      <c r="G8" s="446"/>
      <c r="H8" s="447"/>
    </row>
    <row r="9" spans="1:10" ht="14.4" x14ac:dyDescent="0.3">
      <c r="A9" s="18"/>
      <c r="B9" s="74" t="s">
        <v>22</v>
      </c>
      <c r="C9" s="82" t="str">
        <f>IF(Unternehmen=0,"",Unternehmen)</f>
        <v>Landratsamt Bärstedt</v>
      </c>
      <c r="D9" s="83"/>
      <c r="E9" s="83"/>
      <c r="F9" s="83"/>
      <c r="G9" s="83"/>
      <c r="H9" s="84"/>
    </row>
    <row r="10" spans="1:10" ht="14.4" x14ac:dyDescent="0.3">
      <c r="A10" s="18"/>
      <c r="B10" s="12" t="s">
        <v>24</v>
      </c>
      <c r="C10" s="82" t="str">
        <f>IF(Zustaendig=0,"",Zustaendig)</f>
        <v>Erika Musterfrau</v>
      </c>
      <c r="D10" s="83"/>
      <c r="E10" s="83"/>
      <c r="F10" s="83"/>
      <c r="G10" s="83"/>
      <c r="H10" s="84"/>
    </row>
    <row r="11" spans="1:10" ht="14.4" x14ac:dyDescent="0.3">
      <c r="A11" s="18"/>
      <c r="B11" s="12" t="s">
        <v>26</v>
      </c>
      <c r="C11" s="435">
        <f>IF(Datum=0,"",Datum)</f>
        <v>45588</v>
      </c>
      <c r="D11" s="436"/>
      <c r="E11" s="79"/>
      <c r="F11" s="81"/>
      <c r="G11" s="81"/>
      <c r="H11" s="78"/>
    </row>
    <row r="12" spans="1:10" ht="14.4" x14ac:dyDescent="0.3">
      <c r="A12" s="18"/>
      <c r="B12" s="12"/>
      <c r="C12" s="76"/>
      <c r="E12" s="58" t="s">
        <v>428</v>
      </c>
      <c r="F12" s="85">
        <f>Fahrleistung</f>
        <v>25000</v>
      </c>
      <c r="G12" s="86" t="s">
        <v>27</v>
      </c>
      <c r="H12" s="80"/>
    </row>
    <row r="13" spans="1:10" ht="14.4" x14ac:dyDescent="0.3">
      <c r="A13" s="18"/>
      <c r="B13" s="58"/>
      <c r="C13" s="77"/>
      <c r="E13" s="73" t="s">
        <v>30</v>
      </c>
      <c r="F13" s="87">
        <f>Haltedauer</f>
        <v>7</v>
      </c>
      <c r="G13" s="86" t="s">
        <v>31</v>
      </c>
      <c r="H13" s="80"/>
    </row>
    <row r="14" spans="1:10" x14ac:dyDescent="0.25">
      <c r="A14" s="18"/>
      <c r="B14" s="18"/>
      <c r="C14" s="18"/>
      <c r="D14" s="19"/>
      <c r="E14" s="19"/>
      <c r="F14" s="19"/>
      <c r="G14" s="19"/>
      <c r="H14" s="19"/>
    </row>
    <row r="15" spans="1:10" x14ac:dyDescent="0.25">
      <c r="A15" s="18"/>
      <c r="B15" s="293" t="s">
        <v>432</v>
      </c>
      <c r="C15" s="21"/>
      <c r="D15" s="21"/>
      <c r="E15" s="21"/>
      <c r="F15" s="21"/>
      <c r="G15" s="21"/>
      <c r="H15" s="22"/>
    </row>
    <row r="16" spans="1:10" x14ac:dyDescent="0.25">
      <c r="A16" s="18"/>
      <c r="B16" s="37" t="s">
        <v>43</v>
      </c>
      <c r="C16" s="23"/>
      <c r="D16" s="24">
        <v>1</v>
      </c>
      <c r="E16" s="24">
        <v>2</v>
      </c>
      <c r="F16" s="24">
        <v>3</v>
      </c>
      <c r="G16" s="24">
        <v>4</v>
      </c>
      <c r="H16" s="25">
        <v>5</v>
      </c>
    </row>
    <row r="17" spans="1:9" ht="54.6" customHeight="1" x14ac:dyDescent="0.25">
      <c r="A17" s="18"/>
      <c r="B17" s="38"/>
      <c r="C17" s="39"/>
      <c r="D17" s="148" t="str">
        <f>CONCATENATE(Erg.Fzg._1!$C$10," ",Erg.Fzg._1!$C$11," ",Erg.Fzg._1!$C$13," ",Erg.Fzg._1!$C$14)</f>
        <v>Peugeot Expert Verbrenner Diesel</v>
      </c>
      <c r="E17" s="148" t="str">
        <f>CONCATENATE(Erg.Fzg._2!$C$10," ",Erg.Fzg._2!$C$11," ",Erg.Fzg._2!$C$13," ",Erg.Fzg._2!$C$14)</f>
        <v>Toyota Proace City Verbrenner Diesel</v>
      </c>
      <c r="F17" s="148" t="str">
        <f>CONCATENATE(Erg.Fzg._3!$C$10," ",Erg.Fzg._3!$C$11," ",Erg.Fzg._3!$C$13," ",Erg.Fzg._3!$C$14)</f>
        <v>Fiat Scudo Verbrenner Diesel</v>
      </c>
      <c r="G17" s="148" t="str">
        <f>CONCATENATE(Erg.Fzg._4!$C$10," ",Erg.Fzg._4!$C$11," ",Erg.Fzg._4!$C$13," ",Erg.Fzg._4!$C$14)</f>
        <v>Fiat E-Scudo Vollelektrisch (BEV) Strom</v>
      </c>
      <c r="H17" s="149" t="str">
        <f>CONCATENATE(Erg.Fzg._5!$C$10," ",Erg.Fzg._5!$C$11," ",Erg.Fzg._5!$C$13," ",Erg.Fzg._5!$C$14)</f>
        <v>Opel Combo Electric Vollelektrisch (BEV) Strom</v>
      </c>
    </row>
    <row r="18" spans="1:9" x14ac:dyDescent="0.25">
      <c r="A18" s="437" t="s">
        <v>11</v>
      </c>
      <c r="B18" s="27" t="s">
        <v>97</v>
      </c>
      <c r="C18" s="28" t="s">
        <v>65</v>
      </c>
      <c r="D18" s="43">
        <f>Erg.Fzg._1!$C$57-D19</f>
        <v>19565</v>
      </c>
      <c r="E18" s="43">
        <f>Erg.Fzg._2!$C$57-E19</f>
        <v>22424.499999999996</v>
      </c>
      <c r="F18" s="43">
        <f>Erg.Fzg._3!$C$57-F19</f>
        <v>29799.000000000004</v>
      </c>
      <c r="G18" s="43">
        <f>Erg.Fzg._4!$C$57-G19</f>
        <v>0</v>
      </c>
      <c r="H18" s="44">
        <f>Erg.Fzg._5!$C$57-H19</f>
        <v>0</v>
      </c>
    </row>
    <row r="19" spans="1:9" x14ac:dyDescent="0.25">
      <c r="A19" s="437"/>
      <c r="B19" s="27" t="s">
        <v>98</v>
      </c>
      <c r="C19" s="28" t="s">
        <v>65</v>
      </c>
      <c r="D19" s="43">
        <f>(Erg.Fzg._1!$C$35+Erg.Fzg._1!$C$36)*Haltedauer</f>
        <v>216.125</v>
      </c>
      <c r="E19" s="43">
        <f>(Erg.Fzg._2!$C$35+Erg.Fzg._2!$C$36)*Haltedauer</f>
        <v>156.27500000000001</v>
      </c>
      <c r="F19" s="43">
        <f>(Erg.Fzg._3!$C$35+Erg.Fzg._3!$C$36)*Haltedauer</f>
        <v>160.82500000000002</v>
      </c>
      <c r="G19" s="43">
        <f>(Erg.Fzg._4!$C$35+Erg.Fzg._4!$C$36)*Haltedauer</f>
        <v>0</v>
      </c>
      <c r="H19" s="44">
        <f>(Erg.Fzg._5!$C$35+Erg.Fzg._5!$C$36)*Haltedauer</f>
        <v>0</v>
      </c>
    </row>
    <row r="20" spans="1:9" ht="14.4" customHeight="1" x14ac:dyDescent="0.25">
      <c r="A20" s="437"/>
      <c r="B20" s="27" t="s">
        <v>89</v>
      </c>
      <c r="C20" s="28" t="s">
        <v>65</v>
      </c>
      <c r="D20" s="43">
        <f>Erg.Fzg._1!C41*Haltedauer</f>
        <v>6133.7114197632009</v>
      </c>
      <c r="E20" s="43">
        <f>Erg.Fzg._2!C41*Haltedauer</f>
        <v>7135.1336923776016</v>
      </c>
      <c r="F20" s="43">
        <f>Erg.Fzg._3!C41*Haltedauer</f>
        <v>9513.5115898368003</v>
      </c>
      <c r="G20" s="43">
        <f>Erg.Fzg._4!C41*Haltedauer</f>
        <v>10905.079499999996</v>
      </c>
      <c r="H20" s="44">
        <f>Erg.Fzg._5!C41*Haltedauer</f>
        <v>8145.9630000000006</v>
      </c>
      <c r="I20" s="107"/>
    </row>
    <row r="21" spans="1:9" x14ac:dyDescent="0.25">
      <c r="A21" s="437"/>
      <c r="B21" s="29" t="s">
        <v>90</v>
      </c>
      <c r="C21" s="46" t="s">
        <v>65</v>
      </c>
      <c r="D21" s="47">
        <f>Erg.Fzg._1!$C$59</f>
        <v>0</v>
      </c>
      <c r="E21" s="47">
        <f>Erg.Fzg._2!$C$59</f>
        <v>0</v>
      </c>
      <c r="F21" s="47">
        <f>Erg.Fzg._3!$C$59</f>
        <v>0</v>
      </c>
      <c r="G21" s="47">
        <f>Erg.Fzg._4!$C$59</f>
        <v>2873.181818181818</v>
      </c>
      <c r="H21" s="48">
        <f>Erg.Fzg._5!$C$59</f>
        <v>4309.7727272727279</v>
      </c>
    </row>
    <row r="22" spans="1:9" ht="14.4" thickBot="1" x14ac:dyDescent="0.3">
      <c r="A22" s="18"/>
      <c r="B22" s="49" t="s">
        <v>91</v>
      </c>
      <c r="C22" s="50" t="s">
        <v>65</v>
      </c>
      <c r="D22" s="51">
        <f>IF(SUM(D18:D21)=0,"",SUM(D18:D21))</f>
        <v>25914.8364197632</v>
      </c>
      <c r="E22" s="51">
        <f t="shared" ref="E22:H22" si="0">IF(SUM(E18:E21)=0,"",SUM(E18:E21))</f>
        <v>29715.908692377598</v>
      </c>
      <c r="F22" s="51">
        <f t="shared" si="0"/>
        <v>39473.336589836807</v>
      </c>
      <c r="G22" s="51">
        <f t="shared" si="0"/>
        <v>13778.261318181814</v>
      </c>
      <c r="H22" s="52">
        <f t="shared" si="0"/>
        <v>12455.735727272728</v>
      </c>
    </row>
    <row r="23" spans="1:9" ht="15" thickTop="1" thickBot="1" x14ac:dyDescent="0.3">
      <c r="A23" s="18"/>
      <c r="B23" s="75" t="s">
        <v>92</v>
      </c>
      <c r="C23" s="50"/>
      <c r="D23" s="51">
        <f>IFERROR(_xlfn.RANK.EQ(D22,$D$22:$H$22,1),"")</f>
        <v>3</v>
      </c>
      <c r="E23" s="51">
        <f t="shared" ref="E23:H23" si="1">IFERROR(_xlfn.RANK.EQ(E22,$D$22:$H$22,1),"")</f>
        <v>4</v>
      </c>
      <c r="F23" s="51">
        <f t="shared" si="1"/>
        <v>5</v>
      </c>
      <c r="G23" s="51">
        <f t="shared" si="1"/>
        <v>2</v>
      </c>
      <c r="H23" s="52">
        <f t="shared" si="1"/>
        <v>1</v>
      </c>
      <c r="I23" s="107"/>
    </row>
    <row r="24" spans="1:9" ht="20.399999999999999" customHeight="1" thickTop="1" x14ac:dyDescent="0.25">
      <c r="A24" s="18"/>
      <c r="B24" s="108" t="s">
        <v>93</v>
      </c>
      <c r="C24" s="66" t="s">
        <v>81</v>
      </c>
      <c r="D24" s="231">
        <f>IF(AND(COUNTIF(D18:D21,0)&gt;0,Antriebsart1="Plug-In-Hybrid (PHEV)"),1,IF(AND(COUNTIF(D18:D21,0)&gt;1,Antriebsart1="Verbrenner"),1,IF(AND(COUNTIF(D18:D21,0)&gt;2,Antriebsart1&lt;&gt;""),1,0)))</f>
        <v>0</v>
      </c>
      <c r="E24" s="231">
        <f>IF(AND(COUNTIF(E18:E21,0)&gt;0,Antriebsart2="Plug-In-Hybrid (PHEV)"),1,IF(AND(COUNTIF(E18:E21,0)&gt;1,Antriebsart2="Verbrenner"),1,IF(AND(COUNTIF(E18:E21,0)&gt;2,Antriebsart2&lt;&gt;""),1,0)))</f>
        <v>0</v>
      </c>
      <c r="F24" s="231">
        <f>IF(AND(COUNTIF(F18:F21,0)&gt;0,Antriebsart3="Plug-In-Hybrid (PHEV)"),1,IF(AND(COUNTIF(F18:F21,0)&gt;1,Antriebsart3="Verbrenner"),1,IF(AND(COUNTIF(F18:F21,0)&gt;2,Antriebsart3&lt;&gt;""),1,0)))</f>
        <v>0</v>
      </c>
      <c r="G24" s="231">
        <f>IF(AND(COUNTIF(G18:G21,0)&gt;0,Antriebsart4="Plug-In-Hybrid (PHEV)"),1,IF(AND(COUNTIF(G18:G21,0)&gt;1,Antriebsart4="Verbrenner"),1,IF(AND(COUNTIF(G18:G21,0)&gt;2,Antriebsart4&lt;&gt;""),1,0)))</f>
        <v>0</v>
      </c>
      <c r="H24" s="232">
        <f>IF(AND(COUNTIF(H18:H21,0)&gt;0,Antriebsart5="Plug-In-Hybrid (PHEV)"),1,IF(AND(COUNTIF(H18:H21,0)&gt;1,Antriebsart5="Verbrenner"),1,IF(AND(COUNTIF(H18:H21,0)&gt;2,Antriebsart5&lt;&gt;""),1,0)))</f>
        <v>0</v>
      </c>
      <c r="I24" s="233">
        <f>SUM(D24:H24)+Eingabe_Angebotswerte!J28</f>
        <v>0</v>
      </c>
    </row>
    <row r="25" spans="1:9" ht="25.95" customHeight="1" x14ac:dyDescent="0.25">
      <c r="A25" s="33"/>
      <c r="B25" s="34" t="s">
        <v>94</v>
      </c>
      <c r="C25" s="31" t="s">
        <v>95</v>
      </c>
      <c r="D25" s="32">
        <f>Erg.Fzg._1!$C$65</f>
        <v>0</v>
      </c>
      <c r="E25" s="32">
        <f>Erg.Fzg._2!$C$65</f>
        <v>0</v>
      </c>
      <c r="F25" s="32">
        <f>Erg.Fzg._3!$C$65</f>
        <v>0</v>
      </c>
      <c r="G25" s="32">
        <f>Erg.Fzg._4!$C$65</f>
        <v>3.3409090909090908</v>
      </c>
      <c r="H25" s="53">
        <f>Erg.Fzg._5!$C$65</f>
        <v>5.0113636363636367</v>
      </c>
    </row>
    <row r="26" spans="1:9" ht="27" customHeight="1" x14ac:dyDescent="0.25">
      <c r="A26" s="33"/>
      <c r="B26" s="98" t="s">
        <v>453</v>
      </c>
      <c r="C26" s="99" t="s">
        <v>95</v>
      </c>
      <c r="D26" s="35">
        <f>Erg.Fzg._1!$C$66</f>
        <v>29.882222581120001</v>
      </c>
      <c r="E26" s="35">
        <f>Erg.Fzg._2!$C$66</f>
        <v>34.371667084160002</v>
      </c>
      <c r="F26" s="35">
        <f>Erg.Fzg._3!$C$66</f>
        <v>45.712222778879998</v>
      </c>
      <c r="G26" s="35">
        <f>Erg.Fzg._4!$C$66</f>
        <v>12.680324999999995</v>
      </c>
      <c r="H26" s="36">
        <f>Erg.Fzg._5!$C$66</f>
        <v>9.4720500000000012</v>
      </c>
      <c r="I26" s="91"/>
    </row>
    <row r="27" spans="1:9" ht="14.4" customHeight="1" x14ac:dyDescent="0.25">
      <c r="A27" s="33"/>
      <c r="B27" s="310" t="s">
        <v>441</v>
      </c>
      <c r="C27" s="311" t="s">
        <v>440</v>
      </c>
      <c r="D27" s="312">
        <f>SUM(D25:D26)</f>
        <v>29.882222581120001</v>
      </c>
      <c r="E27" s="312">
        <f t="shared" ref="E27:G27" si="2">SUM(E25:E26)</f>
        <v>34.371667084160002</v>
      </c>
      <c r="F27" s="312">
        <f t="shared" si="2"/>
        <v>45.712222778879998</v>
      </c>
      <c r="G27" s="312">
        <f t="shared" si="2"/>
        <v>16.021234090909086</v>
      </c>
      <c r="H27" s="313">
        <f>SUM(H25:H26)</f>
        <v>14.483413636363638</v>
      </c>
      <c r="I27" s="91"/>
    </row>
    <row r="29" spans="1:9" x14ac:dyDescent="0.25">
      <c r="B29" s="293" t="s">
        <v>433</v>
      </c>
      <c r="C29" s="21"/>
      <c r="D29" s="21"/>
      <c r="E29" s="21"/>
      <c r="F29" s="21"/>
      <c r="G29" s="21"/>
      <c r="H29" s="22"/>
    </row>
    <row r="30" spans="1:9" ht="363.6" customHeight="1" x14ac:dyDescent="0.25">
      <c r="B30" s="6"/>
      <c r="D30" s="10"/>
      <c r="E30" s="10"/>
      <c r="F30" s="10"/>
      <c r="G30" s="10"/>
      <c r="H30" s="100"/>
      <c r="I30" s="109"/>
    </row>
    <row r="31" spans="1:9" ht="15" customHeight="1" x14ac:dyDescent="0.25">
      <c r="B31" s="120">
        <f>D23</f>
        <v>3</v>
      </c>
      <c r="C31" s="121">
        <f>E23</f>
        <v>4</v>
      </c>
      <c r="D31" s="123">
        <f>F23</f>
        <v>5</v>
      </c>
      <c r="E31" s="123"/>
      <c r="F31" s="122">
        <f>G23</f>
        <v>2</v>
      </c>
      <c r="G31" s="123">
        <f>H23</f>
        <v>1</v>
      </c>
      <c r="H31" s="101"/>
      <c r="I31" s="107"/>
    </row>
    <row r="32" spans="1:9" x14ac:dyDescent="0.25">
      <c r="D32" s="10"/>
      <c r="E32" s="10"/>
      <c r="F32" s="10"/>
      <c r="G32" s="10"/>
      <c r="H32" s="10"/>
      <c r="I32" s="107"/>
    </row>
    <row r="33" spans="2:2" x14ac:dyDescent="0.25">
      <c r="B33" s="107"/>
    </row>
  </sheetData>
  <sheetProtection sheet="1" objects="1" scenarios="1"/>
  <mergeCells count="3">
    <mergeCell ref="C11:D11"/>
    <mergeCell ref="A18:A21"/>
    <mergeCell ref="C6:H8"/>
  </mergeCells>
  <conditionalFormatting sqref="D17:H17">
    <cfRule type="cellIs" dxfId="26" priority="20" operator="equal">
      <formula>0</formula>
    </cfRule>
  </conditionalFormatting>
  <conditionalFormatting sqref="D23:H23">
    <cfRule type="colorScale" priority="18">
      <colorScale>
        <cfvo type="min"/>
        <cfvo type="percent" val="20"/>
        <cfvo type="max"/>
        <color rgb="FF63BE7B"/>
        <color rgb="FFFFEB84"/>
        <color rgb="FFF8696B"/>
      </colorScale>
    </cfRule>
  </conditionalFormatting>
  <conditionalFormatting sqref="C2:G2">
    <cfRule type="expression" dxfId="25" priority="11">
      <formula>$I$24=0</formula>
    </cfRule>
  </conditionalFormatting>
  <conditionalFormatting sqref="B31:D31 F31:G31">
    <cfRule type="top10" dxfId="24" priority="6" percent="1" bottom="1" rank="10"/>
    <cfRule type="top10" dxfId="23" priority="7" percent="1" rank="10"/>
    <cfRule type="aboveAverage" dxfId="22" priority="8"/>
    <cfRule type="aboveAverage" dxfId="21" priority="9" aboveAverage="0"/>
    <cfRule type="aboveAverage" dxfId="20" priority="10" equalAverage="1"/>
  </conditionalFormatting>
  <conditionalFormatting sqref="E31">
    <cfRule type="top10" dxfId="19" priority="1" percent="1" bottom="1" rank="10"/>
    <cfRule type="top10" dxfId="18" priority="2" percent="1" rank="10"/>
    <cfRule type="aboveAverage" dxfId="17" priority="3"/>
    <cfRule type="aboveAverage" dxfId="16" priority="4" aboveAverage="0"/>
    <cfRule type="aboveAverage" dxfId="15" priority="5" equalAverage="1"/>
  </conditionalFormatting>
  <hyperlinks>
    <hyperlink ref="J2" location="Anleitung!A1" display="zurück zu &quot;Anleitung&quot;" xr:uid="{00000000-0004-0000-0400-000000000000}"/>
  </hyperlinks>
  <pageMargins left="0.43307086614173229" right="0.23622047244094491" top="0.74803149606299213" bottom="0.74803149606299213" header="0.31496062992125984" footer="0.31496062992125984"/>
  <pageSetup paperSize="9" scale="84"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N55"/>
  <sheetViews>
    <sheetView showGridLines="0" zoomScaleNormal="100" workbookViewId="0"/>
  </sheetViews>
  <sheetFormatPr baseColWidth="10" defaultColWidth="11.5546875" defaultRowHeight="13.8" x14ac:dyDescent="0.25"/>
  <cols>
    <col min="1" max="1" width="5" style="1" customWidth="1"/>
    <col min="2" max="2" width="29.6640625" style="1" customWidth="1"/>
    <col min="3" max="3" width="28.33203125" style="1" bestFit="1" customWidth="1"/>
    <col min="4" max="4" width="17.6640625" style="1" customWidth="1"/>
    <col min="5" max="5" width="16.33203125" style="1" bestFit="1" customWidth="1"/>
    <col min="6" max="6" width="13.5546875" style="1" customWidth="1"/>
    <col min="7" max="7" width="13.88671875" style="1" customWidth="1"/>
    <col min="8" max="8" width="14.6640625" style="1" customWidth="1"/>
    <col min="9" max="9" width="10.6640625" style="10" hidden="1" customWidth="1"/>
    <col min="10" max="10" width="19.33203125" style="1" customWidth="1"/>
    <col min="11" max="11" width="12.88671875" style="1" customWidth="1"/>
    <col min="12" max="12" width="11.5546875" style="1"/>
    <col min="13" max="13" width="11.5546875" style="1" customWidth="1"/>
    <col min="14" max="16384" width="11.5546875" style="1"/>
  </cols>
  <sheetData>
    <row r="1" spans="1:14" ht="14.4" x14ac:dyDescent="0.25">
      <c r="I1" s="97" t="s">
        <v>11</v>
      </c>
    </row>
    <row r="2" spans="1:14" x14ac:dyDescent="0.25">
      <c r="A2" s="119"/>
      <c r="B2" s="189" t="s">
        <v>100</v>
      </c>
      <c r="C2" s="119"/>
      <c r="D2" s="119"/>
      <c r="E2" s="119"/>
      <c r="F2" s="119"/>
      <c r="G2" s="119"/>
      <c r="H2" s="119"/>
      <c r="I2" s="190"/>
      <c r="J2" s="119"/>
      <c r="K2" s="106" t="s">
        <v>20</v>
      </c>
    </row>
    <row r="3" spans="1:14" x14ac:dyDescent="0.25">
      <c r="A3" s="119"/>
      <c r="B3" s="119"/>
      <c r="C3" s="119"/>
      <c r="D3" s="119"/>
      <c r="E3" s="119"/>
      <c r="F3" s="119"/>
      <c r="G3" s="119"/>
      <c r="H3" s="119"/>
      <c r="I3" s="190"/>
      <c r="J3" s="119"/>
    </row>
    <row r="4" spans="1:14" x14ac:dyDescent="0.25">
      <c r="A4" s="119"/>
      <c r="B4" s="293" t="s">
        <v>403</v>
      </c>
      <c r="C4" s="354"/>
      <c r="D4" s="354"/>
      <c r="E4" s="354"/>
      <c r="F4" s="354"/>
      <c r="G4" s="354"/>
      <c r="H4" s="355"/>
      <c r="I4" s="190"/>
      <c r="J4" s="119"/>
    </row>
    <row r="5" spans="1:14" ht="14.4" customHeight="1" x14ac:dyDescent="0.25">
      <c r="A5" s="404" t="s">
        <v>11</v>
      </c>
      <c r="B5" s="219"/>
      <c r="C5" s="219"/>
      <c r="D5" s="219"/>
      <c r="E5" s="219"/>
      <c r="F5" s="219"/>
      <c r="G5" s="219"/>
      <c r="H5" s="219"/>
      <c r="I5" s="190"/>
      <c r="J5" s="119"/>
      <c r="L5" s="448" t="s">
        <v>406</v>
      </c>
      <c r="M5" s="448"/>
      <c r="N5" s="448"/>
    </row>
    <row r="6" spans="1:14" ht="27.6" x14ac:dyDescent="0.25">
      <c r="A6" s="404"/>
      <c r="B6" s="220" t="s">
        <v>101</v>
      </c>
      <c r="C6" s="220" t="s">
        <v>44</v>
      </c>
      <c r="D6" s="221" t="s">
        <v>518</v>
      </c>
      <c r="E6" s="221" t="s">
        <v>519</v>
      </c>
      <c r="F6" s="221" t="s">
        <v>102</v>
      </c>
      <c r="G6" s="226" t="s">
        <v>103</v>
      </c>
      <c r="H6" s="221" t="s">
        <v>104</v>
      </c>
      <c r="I6" s="306" t="s">
        <v>105</v>
      </c>
      <c r="J6" s="119"/>
      <c r="L6" s="448"/>
      <c r="M6" s="448"/>
      <c r="N6" s="448"/>
    </row>
    <row r="7" spans="1:14" ht="27.6" x14ac:dyDescent="0.25">
      <c r="A7" s="352"/>
      <c r="B7" s="449" t="s">
        <v>106</v>
      </c>
      <c r="C7" s="452" t="s">
        <v>46</v>
      </c>
      <c r="D7" s="370" t="s">
        <v>520</v>
      </c>
      <c r="E7" s="386" t="s">
        <v>521</v>
      </c>
      <c r="F7" s="223">
        <v>230</v>
      </c>
      <c r="G7" s="272"/>
      <c r="H7" s="222" t="s">
        <v>72</v>
      </c>
      <c r="I7" s="307">
        <f t="shared" ref="I7:I25" si="0">IF(ISBLANK(G7),F7,G7)</f>
        <v>230</v>
      </c>
      <c r="J7" s="119"/>
      <c r="L7" s="448"/>
      <c r="M7" s="448"/>
      <c r="N7" s="448"/>
    </row>
    <row r="8" spans="1:14" x14ac:dyDescent="0.25">
      <c r="A8" s="352"/>
      <c r="B8" s="450"/>
      <c r="C8" s="453"/>
      <c r="D8" s="455" t="s">
        <v>522</v>
      </c>
      <c r="E8" s="387" t="s">
        <v>584</v>
      </c>
      <c r="F8" s="223">
        <v>150</v>
      </c>
      <c r="G8" s="272"/>
      <c r="H8" s="222" t="s">
        <v>72</v>
      </c>
      <c r="I8" s="307">
        <f t="shared" si="0"/>
        <v>150</v>
      </c>
      <c r="J8" s="119"/>
      <c r="L8" s="448"/>
      <c r="M8" s="448"/>
      <c r="N8" s="448"/>
    </row>
    <row r="9" spans="1:14" x14ac:dyDescent="0.25">
      <c r="A9" s="352"/>
      <c r="B9" s="450"/>
      <c r="C9" s="453"/>
      <c r="D9" s="455"/>
      <c r="E9" s="386" t="s">
        <v>530</v>
      </c>
      <c r="F9" s="223">
        <v>160</v>
      </c>
      <c r="G9" s="272"/>
      <c r="H9" s="222" t="s">
        <v>72</v>
      </c>
      <c r="I9" s="307">
        <f t="shared" si="0"/>
        <v>160</v>
      </c>
      <c r="J9" s="119"/>
      <c r="L9" s="448"/>
      <c r="M9" s="448"/>
      <c r="N9" s="448"/>
    </row>
    <row r="10" spans="1:14" x14ac:dyDescent="0.25">
      <c r="A10" s="352"/>
      <c r="B10" s="450"/>
      <c r="C10" s="453"/>
      <c r="D10" s="455"/>
      <c r="E10" s="387" t="s">
        <v>531</v>
      </c>
      <c r="F10" s="223">
        <v>190</v>
      </c>
      <c r="G10" s="272"/>
      <c r="H10" s="222" t="s">
        <v>72</v>
      </c>
      <c r="I10" s="307">
        <f t="shared" si="0"/>
        <v>190</v>
      </c>
      <c r="J10" s="119"/>
      <c r="L10" s="448"/>
      <c r="M10" s="448"/>
      <c r="N10" s="448"/>
    </row>
    <row r="11" spans="1:14" x14ac:dyDescent="0.25">
      <c r="A11" s="352"/>
      <c r="B11" s="450"/>
      <c r="C11" s="454"/>
      <c r="D11" s="456"/>
      <c r="E11" s="386" t="s">
        <v>532</v>
      </c>
      <c r="F11" s="223">
        <v>210</v>
      </c>
      <c r="G11" s="272"/>
      <c r="H11" s="222" t="s">
        <v>72</v>
      </c>
      <c r="I11" s="307">
        <f t="shared" si="0"/>
        <v>210</v>
      </c>
      <c r="J11" s="119"/>
      <c r="L11" s="448"/>
      <c r="M11" s="448"/>
      <c r="N11" s="448"/>
    </row>
    <row r="12" spans="1:14" x14ac:dyDescent="0.25">
      <c r="A12" s="352"/>
      <c r="B12" s="451"/>
      <c r="C12" s="222" t="s">
        <v>107</v>
      </c>
      <c r="D12" s="223" t="s">
        <v>512</v>
      </c>
      <c r="E12" s="386" t="s">
        <v>512</v>
      </c>
      <c r="F12" s="223">
        <v>40</v>
      </c>
      <c r="G12" s="272"/>
      <c r="H12" s="222" t="s">
        <v>72</v>
      </c>
      <c r="I12" s="307">
        <f t="shared" si="0"/>
        <v>40</v>
      </c>
      <c r="J12" s="119"/>
      <c r="L12" s="448"/>
      <c r="M12" s="448"/>
      <c r="N12" s="448"/>
    </row>
    <row r="13" spans="1:14" ht="27.6" x14ac:dyDescent="0.25">
      <c r="A13" s="352"/>
      <c r="B13" s="449" t="s">
        <v>111</v>
      </c>
      <c r="C13" s="452" t="s">
        <v>112</v>
      </c>
      <c r="D13" s="371" t="s">
        <v>520</v>
      </c>
      <c r="E13" s="386" t="s">
        <v>521</v>
      </c>
      <c r="F13" s="223">
        <v>32</v>
      </c>
      <c r="G13" s="272"/>
      <c r="H13" s="222" t="s">
        <v>113</v>
      </c>
      <c r="I13" s="307">
        <f>IF(ISBLANK(G13),F13,G13)</f>
        <v>32</v>
      </c>
      <c r="J13" s="119"/>
      <c r="L13" s="448"/>
      <c r="M13" s="448"/>
      <c r="N13" s="448"/>
    </row>
    <row r="14" spans="1:14" x14ac:dyDescent="0.25">
      <c r="A14" s="352"/>
      <c r="B14" s="450"/>
      <c r="C14" s="453"/>
      <c r="D14" s="463" t="s">
        <v>522</v>
      </c>
      <c r="E14" s="386" t="s">
        <v>584</v>
      </c>
      <c r="F14" s="223">
        <v>20</v>
      </c>
      <c r="G14" s="272"/>
      <c r="H14" s="222" t="s">
        <v>113</v>
      </c>
      <c r="I14" s="307">
        <f>IF(ISBLANK(G14),F14,G14)</f>
        <v>20</v>
      </c>
      <c r="J14" s="119"/>
      <c r="L14" s="448"/>
      <c r="M14" s="448"/>
      <c r="N14" s="448"/>
    </row>
    <row r="15" spans="1:14" x14ac:dyDescent="0.25">
      <c r="A15" s="352"/>
      <c r="B15" s="450"/>
      <c r="C15" s="453"/>
      <c r="D15" s="455"/>
      <c r="E15" s="386" t="s">
        <v>530</v>
      </c>
      <c r="F15" s="223">
        <v>28</v>
      </c>
      <c r="G15" s="272"/>
      <c r="H15" s="222" t="s">
        <v>113</v>
      </c>
      <c r="I15" s="307">
        <f t="shared" ref="I15:I16" si="1">IF(ISBLANK(G15),F15,G15)</f>
        <v>28</v>
      </c>
      <c r="J15" s="119"/>
      <c r="L15" s="448"/>
      <c r="M15" s="448"/>
      <c r="N15" s="448"/>
    </row>
    <row r="16" spans="1:14" x14ac:dyDescent="0.25">
      <c r="A16" s="352"/>
      <c r="B16" s="450"/>
      <c r="C16" s="454"/>
      <c r="D16" s="456"/>
      <c r="E16" s="386" t="s">
        <v>533</v>
      </c>
      <c r="F16" s="223">
        <v>32</v>
      </c>
      <c r="G16" s="272"/>
      <c r="H16" s="222" t="s">
        <v>113</v>
      </c>
      <c r="I16" s="307">
        <f t="shared" si="1"/>
        <v>32</v>
      </c>
      <c r="J16" s="119"/>
      <c r="L16" s="448"/>
      <c r="M16" s="448"/>
      <c r="N16" s="448"/>
    </row>
    <row r="17" spans="1:14" x14ac:dyDescent="0.25">
      <c r="A17" s="437" t="s">
        <v>11</v>
      </c>
      <c r="B17" s="450"/>
      <c r="C17" s="222" t="s">
        <v>46</v>
      </c>
      <c r="D17" s="223" t="s">
        <v>512</v>
      </c>
      <c r="E17" s="223" t="s">
        <v>512</v>
      </c>
      <c r="F17" s="223" t="s">
        <v>512</v>
      </c>
      <c r="G17" s="272"/>
      <c r="H17" s="222" t="s">
        <v>69</v>
      </c>
      <c r="I17" s="307" t="str">
        <f>IF(ISBLANK(G17),"keine",G17)</f>
        <v>keine</v>
      </c>
      <c r="J17" s="119"/>
      <c r="L17" s="448"/>
      <c r="M17" s="448"/>
      <c r="N17" s="448"/>
    </row>
    <row r="18" spans="1:14" x14ac:dyDescent="0.25">
      <c r="A18" s="437"/>
      <c r="B18" s="450"/>
      <c r="C18" s="222" t="s">
        <v>459</v>
      </c>
      <c r="D18" s="223" t="s">
        <v>512</v>
      </c>
      <c r="E18" s="223" t="s">
        <v>512</v>
      </c>
      <c r="F18" s="223" t="s">
        <v>512</v>
      </c>
      <c r="G18" s="272"/>
      <c r="H18" s="222" t="s">
        <v>69</v>
      </c>
      <c r="I18" s="307" t="str">
        <f>IF(ISBLANK(G18),"keine",G18)</f>
        <v>keine</v>
      </c>
      <c r="J18" s="119"/>
      <c r="L18" s="448"/>
      <c r="M18" s="448"/>
      <c r="N18" s="448"/>
    </row>
    <row r="19" spans="1:14" x14ac:dyDescent="0.25">
      <c r="A19" s="437"/>
      <c r="B19" s="451"/>
      <c r="C19" s="222" t="s">
        <v>513</v>
      </c>
      <c r="D19" s="223" t="s">
        <v>512</v>
      </c>
      <c r="E19" s="223" t="s">
        <v>512</v>
      </c>
      <c r="F19" s="223" t="s">
        <v>512</v>
      </c>
      <c r="G19" s="272"/>
      <c r="H19" s="222" t="s">
        <v>113</v>
      </c>
      <c r="I19" s="307" t="str">
        <f>IF(ISBLANK(G19),"keine",G19)</f>
        <v>keine</v>
      </c>
      <c r="J19" s="119"/>
      <c r="L19" s="448"/>
      <c r="M19" s="448"/>
      <c r="N19" s="448"/>
    </row>
    <row r="20" spans="1:14" x14ac:dyDescent="0.25">
      <c r="A20" s="352"/>
      <c r="B20" s="378"/>
      <c r="C20" s="380"/>
      <c r="D20" s="464" t="s">
        <v>526</v>
      </c>
      <c r="E20" s="465"/>
      <c r="F20" s="381"/>
      <c r="G20" s="382"/>
      <c r="H20" s="379"/>
      <c r="I20" s="307"/>
      <c r="J20" s="119"/>
      <c r="L20" s="448"/>
      <c r="M20" s="448"/>
      <c r="N20" s="448"/>
    </row>
    <row r="21" spans="1:14" x14ac:dyDescent="0.25">
      <c r="A21" s="352"/>
      <c r="B21" s="449" t="s">
        <v>108</v>
      </c>
      <c r="C21" s="452" t="s">
        <v>109</v>
      </c>
      <c r="D21" s="466" t="s">
        <v>523</v>
      </c>
      <c r="E21" s="467"/>
      <c r="F21" s="386">
        <v>64</v>
      </c>
      <c r="G21" s="272"/>
      <c r="H21" s="222" t="s">
        <v>74</v>
      </c>
      <c r="I21" s="307">
        <f>IF(ISBLANK(G21),F21,G21)</f>
        <v>64</v>
      </c>
      <c r="J21" s="119"/>
      <c r="L21" s="448"/>
      <c r="M21" s="448"/>
      <c r="N21" s="448"/>
    </row>
    <row r="22" spans="1:14" x14ac:dyDescent="0.25">
      <c r="A22" s="352"/>
      <c r="B22" s="450"/>
      <c r="C22" s="453"/>
      <c r="D22" s="466" t="s">
        <v>524</v>
      </c>
      <c r="E22" s="467"/>
      <c r="F22" s="386">
        <v>84</v>
      </c>
      <c r="G22" s="272"/>
      <c r="H22" s="222" t="s">
        <v>74</v>
      </c>
      <c r="I22" s="307">
        <f t="shared" ref="I22:I23" si="2">IF(ISBLANK(G22),F22,G22)</f>
        <v>84</v>
      </c>
      <c r="J22" s="119"/>
      <c r="K22" s="383"/>
      <c r="L22" s="448"/>
      <c r="M22" s="448"/>
      <c r="N22" s="448"/>
    </row>
    <row r="23" spans="1:14" x14ac:dyDescent="0.25">
      <c r="A23" s="352"/>
      <c r="B23" s="451"/>
      <c r="C23" s="454"/>
      <c r="D23" s="466" t="s">
        <v>525</v>
      </c>
      <c r="E23" s="467"/>
      <c r="F23" s="386">
        <v>100</v>
      </c>
      <c r="G23" s="272"/>
      <c r="H23" s="222" t="s">
        <v>74</v>
      </c>
      <c r="I23" s="307">
        <f t="shared" si="2"/>
        <v>100</v>
      </c>
      <c r="J23" s="119"/>
      <c r="L23" s="448"/>
      <c r="M23" s="448"/>
      <c r="N23" s="448"/>
    </row>
    <row r="24" spans="1:14" x14ac:dyDescent="0.25">
      <c r="A24" s="352"/>
      <c r="B24" s="367" t="s">
        <v>110</v>
      </c>
      <c r="C24" s="369" t="s">
        <v>109</v>
      </c>
      <c r="D24" s="466" t="s">
        <v>527</v>
      </c>
      <c r="E24" s="467"/>
      <c r="F24" s="388">
        <v>3.6</v>
      </c>
      <c r="G24" s="272"/>
      <c r="H24" s="222" t="s">
        <v>74</v>
      </c>
      <c r="I24" s="307">
        <f>IF(ISBLANK(G24),F24,G24)</f>
        <v>3.6</v>
      </c>
      <c r="J24" s="119"/>
      <c r="L24" s="448"/>
      <c r="M24" s="448"/>
      <c r="N24" s="448"/>
    </row>
    <row r="25" spans="1:14" s="8" customFormat="1" ht="27.6" x14ac:dyDescent="0.25">
      <c r="A25" s="353"/>
      <c r="B25" s="356" t="s">
        <v>114</v>
      </c>
      <c r="C25" s="225" t="s">
        <v>107</v>
      </c>
      <c r="D25" s="223" t="s">
        <v>512</v>
      </c>
      <c r="E25" s="223" t="s">
        <v>512</v>
      </c>
      <c r="F25" s="224">
        <v>60</v>
      </c>
      <c r="G25" s="273"/>
      <c r="H25" s="225" t="s">
        <v>77</v>
      </c>
      <c r="I25" s="307">
        <f t="shared" si="0"/>
        <v>60</v>
      </c>
      <c r="J25" s="191"/>
      <c r="L25" s="448"/>
      <c r="M25" s="448"/>
      <c r="N25" s="448"/>
    </row>
    <row r="26" spans="1:14" x14ac:dyDescent="0.25">
      <c r="A26" s="119"/>
      <c r="B26" s="119"/>
      <c r="C26" s="119"/>
      <c r="D26" s="119"/>
      <c r="E26" s="119"/>
      <c r="F26" s="119"/>
      <c r="G26" s="119"/>
      <c r="H26" s="119"/>
      <c r="I26" s="190"/>
      <c r="J26" s="119"/>
    </row>
    <row r="27" spans="1:14" x14ac:dyDescent="0.25">
      <c r="A27" s="119"/>
      <c r="B27" s="119"/>
      <c r="C27" s="119"/>
      <c r="D27" s="119"/>
      <c r="E27" s="119"/>
      <c r="F27" s="119"/>
      <c r="G27" s="119"/>
      <c r="H27" s="119"/>
      <c r="I27" s="190"/>
      <c r="J27" s="119"/>
    </row>
    <row r="29" spans="1:14" x14ac:dyDescent="0.25">
      <c r="A29" s="193"/>
      <c r="B29" s="192" t="s">
        <v>115</v>
      </c>
      <c r="C29" s="192"/>
      <c r="D29" s="192"/>
      <c r="E29" s="192"/>
      <c r="F29" s="193" t="s">
        <v>116</v>
      </c>
      <c r="G29" s="193"/>
      <c r="H29" s="193"/>
      <c r="I29" s="194"/>
      <c r="J29" s="194"/>
      <c r="K29" s="194"/>
    </row>
    <row r="30" spans="1:14" x14ac:dyDescent="0.25">
      <c r="A30" s="193"/>
      <c r="B30" s="193"/>
      <c r="C30" s="193"/>
      <c r="D30" s="193"/>
      <c r="E30" s="193"/>
      <c r="F30" s="193"/>
      <c r="G30" s="193"/>
      <c r="H30" s="193"/>
      <c r="I30" s="194"/>
      <c r="J30" s="194"/>
      <c r="K30" s="194"/>
    </row>
    <row r="31" spans="1:14" x14ac:dyDescent="0.25">
      <c r="A31" s="196"/>
      <c r="B31" s="293" t="s">
        <v>402</v>
      </c>
      <c r="C31" s="339"/>
      <c r="D31" s="339"/>
      <c r="E31" s="339"/>
      <c r="F31" s="340"/>
      <c r="G31" s="340"/>
      <c r="H31" s="341"/>
      <c r="I31" s="194"/>
      <c r="J31" s="195"/>
      <c r="K31" s="195"/>
    </row>
    <row r="32" spans="1:14" x14ac:dyDescent="0.25">
      <c r="A32" s="196"/>
      <c r="B32" s="6"/>
      <c r="C32" s="327"/>
      <c r="D32" s="327"/>
      <c r="E32" s="327"/>
      <c r="F32" s="6"/>
      <c r="G32" s="327"/>
      <c r="H32" s="208"/>
      <c r="I32" s="194"/>
      <c r="J32" s="195"/>
      <c r="K32" s="195"/>
    </row>
    <row r="33" spans="1:11" x14ac:dyDescent="0.25">
      <c r="A33" s="196"/>
      <c r="B33" s="346" t="s">
        <v>48</v>
      </c>
      <c r="C33" s="327"/>
      <c r="D33" s="327"/>
      <c r="E33" s="327"/>
      <c r="F33" s="296" t="s">
        <v>117</v>
      </c>
      <c r="G33" s="347"/>
      <c r="H33" s="295" t="s">
        <v>104</v>
      </c>
      <c r="I33" s="194"/>
      <c r="J33" s="195"/>
      <c r="K33" s="195"/>
    </row>
    <row r="34" spans="1:11" ht="27.6" x14ac:dyDescent="0.25">
      <c r="A34" s="196"/>
      <c r="B34" s="6"/>
      <c r="C34" s="327"/>
      <c r="D34" s="327"/>
      <c r="E34" s="327"/>
      <c r="F34" s="209"/>
      <c r="G34" s="210" t="s">
        <v>103</v>
      </c>
      <c r="H34" s="294"/>
      <c r="I34" s="308" t="s">
        <v>118</v>
      </c>
      <c r="J34" s="198" t="s">
        <v>119</v>
      </c>
      <c r="K34" s="255" t="s">
        <v>120</v>
      </c>
    </row>
    <row r="35" spans="1:11" ht="14.4" x14ac:dyDescent="0.3">
      <c r="A35" s="204"/>
      <c r="B35" s="212" t="s">
        <v>121</v>
      </c>
      <c r="C35" s="372"/>
      <c r="D35" s="375"/>
      <c r="E35" s="213"/>
      <c r="F35" s="214">
        <v>41.4</v>
      </c>
      <c r="G35" s="243"/>
      <c r="H35" s="9" t="s">
        <v>122</v>
      </c>
      <c r="I35" s="308">
        <f>IF(ISNUMBER(G35),G35,F35)/100</f>
        <v>0.41399999999999998</v>
      </c>
      <c r="J35" s="199" t="s">
        <v>443</v>
      </c>
      <c r="K35" s="254"/>
    </row>
    <row r="36" spans="1:11" ht="14.4" x14ac:dyDescent="0.3">
      <c r="A36" s="204"/>
      <c r="B36" s="215" t="s">
        <v>123</v>
      </c>
      <c r="C36" s="373"/>
      <c r="D36" s="376"/>
      <c r="E36" s="211"/>
      <c r="F36" s="214">
        <v>59</v>
      </c>
      <c r="G36" s="243"/>
      <c r="H36" s="9" t="s">
        <v>122</v>
      </c>
      <c r="I36" s="308">
        <f>IF(ISNUMBER(G36),G36,F36)/100</f>
        <v>0.59</v>
      </c>
      <c r="J36" s="199" t="s">
        <v>451</v>
      </c>
      <c r="K36" s="254"/>
    </row>
    <row r="37" spans="1:11" ht="14.4" hidden="1" x14ac:dyDescent="0.25">
      <c r="A37" s="205"/>
      <c r="B37" s="216" t="s">
        <v>49</v>
      </c>
      <c r="C37" s="374"/>
      <c r="D37" s="377"/>
      <c r="E37" s="348"/>
      <c r="F37" s="349"/>
      <c r="G37" s="350"/>
      <c r="H37" s="208"/>
      <c r="I37" s="308">
        <f>I35*Input_Beschaffung!J32/100+I36*(1-Input_Beschaffung!J32/100)</f>
        <v>0.502</v>
      </c>
      <c r="J37" s="199"/>
      <c r="K37" s="254"/>
    </row>
    <row r="38" spans="1:11" x14ac:dyDescent="0.25">
      <c r="A38" s="459"/>
      <c r="B38" s="212" t="s">
        <v>50</v>
      </c>
      <c r="C38" s="372"/>
      <c r="D38" s="375"/>
      <c r="E38" s="213"/>
      <c r="F38" s="271">
        <v>1.6719999999999999</v>
      </c>
      <c r="G38" s="243"/>
      <c r="H38" s="9" t="s">
        <v>124</v>
      </c>
      <c r="I38" s="308">
        <f t="shared" ref="I38:I40" si="3">IF(ISNUMBER(G38),G38,F38)</f>
        <v>1.6719999999999999</v>
      </c>
      <c r="J38" s="199" t="s">
        <v>448</v>
      </c>
      <c r="K38" s="254"/>
    </row>
    <row r="39" spans="1:11" x14ac:dyDescent="0.25">
      <c r="A39" s="459"/>
      <c r="B39" s="212" t="s">
        <v>51</v>
      </c>
      <c r="C39" s="372"/>
      <c r="D39" s="375"/>
      <c r="E39" s="213"/>
      <c r="F39" s="271">
        <v>1.788</v>
      </c>
      <c r="G39" s="243"/>
      <c r="H39" s="9" t="s">
        <v>124</v>
      </c>
      <c r="I39" s="308">
        <f t="shared" si="3"/>
        <v>1.788</v>
      </c>
      <c r="J39" s="199" t="s">
        <v>448</v>
      </c>
      <c r="K39" s="254"/>
    </row>
    <row r="40" spans="1:11" ht="14.4" x14ac:dyDescent="0.25">
      <c r="A40" s="205"/>
      <c r="B40" s="212" t="s">
        <v>125</v>
      </c>
      <c r="C40" s="372"/>
      <c r="D40" s="375"/>
      <c r="E40" s="213"/>
      <c r="F40" s="217">
        <v>1.3</v>
      </c>
      <c r="G40" s="243"/>
      <c r="H40" s="9" t="s">
        <v>126</v>
      </c>
      <c r="I40" s="308">
        <f t="shared" si="3"/>
        <v>1.3</v>
      </c>
      <c r="J40" s="199" t="s">
        <v>445</v>
      </c>
      <c r="K40" s="254"/>
    </row>
    <row r="41" spans="1:11" ht="14.4" x14ac:dyDescent="0.25">
      <c r="A41" s="206"/>
      <c r="B41" s="193"/>
      <c r="C41" s="193"/>
      <c r="D41" s="193"/>
      <c r="E41" s="193"/>
      <c r="F41" s="194"/>
      <c r="G41" s="200"/>
      <c r="H41" s="193"/>
      <c r="I41" s="197"/>
      <c r="J41" s="194"/>
      <c r="K41" s="194"/>
    </row>
    <row r="42" spans="1:11" x14ac:dyDescent="0.25">
      <c r="A42" s="193"/>
      <c r="B42" s="193"/>
      <c r="C42" s="193"/>
      <c r="D42" s="193"/>
      <c r="E42" s="193"/>
      <c r="F42" s="194"/>
      <c r="G42" s="194"/>
      <c r="H42" s="193"/>
      <c r="I42" s="194"/>
      <c r="J42" s="194"/>
      <c r="K42" s="194"/>
    </row>
    <row r="43" spans="1:11" x14ac:dyDescent="0.25">
      <c r="A43" s="193"/>
      <c r="B43" s="293" t="s">
        <v>127</v>
      </c>
      <c r="C43" s="339"/>
      <c r="D43" s="339"/>
      <c r="E43" s="339"/>
      <c r="F43" s="340"/>
      <c r="G43" s="340"/>
      <c r="H43" s="341"/>
      <c r="I43" s="201"/>
      <c r="J43" s="201"/>
      <c r="K43" s="201"/>
    </row>
    <row r="44" spans="1:11" ht="22.95" customHeight="1" x14ac:dyDescent="0.25">
      <c r="A44" s="193"/>
      <c r="B44" s="460" t="s">
        <v>128</v>
      </c>
      <c r="C44" s="461"/>
      <c r="D44" s="461"/>
      <c r="E44" s="461"/>
      <c r="F44" s="461"/>
      <c r="G44" s="461"/>
      <c r="H44" s="462"/>
      <c r="I44" s="308" t="s">
        <v>118</v>
      </c>
      <c r="J44" s="202"/>
      <c r="K44" s="202"/>
    </row>
    <row r="45" spans="1:11" ht="27.6" x14ac:dyDescent="0.25">
      <c r="A45" s="193"/>
      <c r="B45" s="6"/>
      <c r="C45" s="327"/>
      <c r="D45" s="327"/>
      <c r="E45" s="327"/>
      <c r="F45" s="327"/>
      <c r="G45" s="342" t="s">
        <v>103</v>
      </c>
      <c r="H45" s="343" t="s">
        <v>104</v>
      </c>
      <c r="I45" s="308"/>
      <c r="J45" s="195"/>
      <c r="K45" s="195"/>
    </row>
    <row r="46" spans="1:11" ht="16.2" x14ac:dyDescent="0.35">
      <c r="A46" s="207"/>
      <c r="B46" s="6" t="s">
        <v>129</v>
      </c>
      <c r="C46" s="327"/>
      <c r="D46" s="327"/>
      <c r="E46" s="327"/>
      <c r="F46" s="218">
        <f>IF(KostTHGVorgabe="(Niedrig) 250", 250, 860)</f>
        <v>860</v>
      </c>
      <c r="G46" s="243"/>
      <c r="H46" s="9" t="s">
        <v>35</v>
      </c>
      <c r="I46" s="308">
        <f>IF(ISNUMBER(G46),G46,F46)</f>
        <v>860</v>
      </c>
      <c r="J46" s="199" t="s">
        <v>412</v>
      </c>
      <c r="K46" s="254"/>
    </row>
    <row r="47" spans="1:11" x14ac:dyDescent="0.25">
      <c r="A47" s="193"/>
      <c r="B47" s="6"/>
      <c r="C47" s="327"/>
      <c r="D47" s="327"/>
      <c r="E47" s="327"/>
      <c r="F47" s="344"/>
      <c r="G47" s="344"/>
      <c r="H47" s="345"/>
      <c r="I47" s="308"/>
      <c r="J47" s="195"/>
      <c r="K47" s="195"/>
    </row>
    <row r="48" spans="1:11" x14ac:dyDescent="0.25">
      <c r="A48" s="193"/>
      <c r="B48" s="6" t="s">
        <v>131</v>
      </c>
      <c r="C48" s="327"/>
      <c r="D48" s="327"/>
      <c r="E48" s="327"/>
      <c r="F48" s="218">
        <v>0.02</v>
      </c>
      <c r="G48" s="243"/>
      <c r="H48" s="9" t="s">
        <v>132</v>
      </c>
      <c r="I48" s="308">
        <f>IF(ISNUMBER(G48),G48,F48)</f>
        <v>0.02</v>
      </c>
      <c r="J48" s="199" t="s">
        <v>130</v>
      </c>
      <c r="K48" s="254"/>
    </row>
    <row r="49" spans="1:11" x14ac:dyDescent="0.25">
      <c r="A49" s="193"/>
      <c r="B49" s="215" t="s">
        <v>133</v>
      </c>
      <c r="C49" s="72"/>
      <c r="D49" s="72"/>
      <c r="E49" s="72"/>
      <c r="F49" s="218">
        <v>0.15</v>
      </c>
      <c r="G49" s="243"/>
      <c r="H49" s="9" t="s">
        <v>132</v>
      </c>
      <c r="I49" s="308">
        <f>IF(ISNUMBER(G49),G49,F49)</f>
        <v>0.15</v>
      </c>
      <c r="J49" s="199" t="s">
        <v>130</v>
      </c>
      <c r="K49" s="254"/>
    </row>
    <row r="50" spans="1:11" x14ac:dyDescent="0.25">
      <c r="A50" s="193"/>
      <c r="B50" s="203"/>
      <c r="C50" s="193"/>
      <c r="D50" s="193"/>
      <c r="E50" s="193"/>
      <c r="F50" s="194"/>
      <c r="G50" s="194"/>
      <c r="H50" s="193"/>
      <c r="I50" s="308"/>
      <c r="J50" s="195"/>
      <c r="K50" s="195"/>
    </row>
    <row r="51" spans="1:11" x14ac:dyDescent="0.25">
      <c r="A51" s="193"/>
      <c r="B51" s="193"/>
      <c r="C51" s="203"/>
      <c r="D51" s="203"/>
      <c r="E51" s="203"/>
      <c r="F51" s="193"/>
      <c r="G51" s="193"/>
      <c r="H51" s="193"/>
      <c r="I51" s="308"/>
      <c r="J51" s="194"/>
      <c r="K51" s="194"/>
    </row>
    <row r="52" spans="1:11" x14ac:dyDescent="0.25">
      <c r="A52" s="193"/>
      <c r="B52" s="293" t="s">
        <v>134</v>
      </c>
      <c r="C52" s="340"/>
      <c r="D52" s="340"/>
      <c r="E52" s="340"/>
      <c r="F52" s="340"/>
      <c r="G52" s="340"/>
      <c r="H52" s="351"/>
      <c r="I52" s="308"/>
      <c r="J52" s="193"/>
      <c r="K52" s="193"/>
    </row>
    <row r="53" spans="1:11" ht="16.2" x14ac:dyDescent="0.35">
      <c r="A53" s="193"/>
      <c r="B53" s="457" t="s">
        <v>407</v>
      </c>
      <c r="C53" s="458"/>
      <c r="D53" s="368"/>
      <c r="E53" s="368"/>
      <c r="F53" s="218">
        <v>84</v>
      </c>
      <c r="G53" s="243"/>
      <c r="H53" s="9" t="s">
        <v>135</v>
      </c>
      <c r="I53" s="308">
        <f>IF(ISNUMBER(G53),G53,F53)</f>
        <v>84</v>
      </c>
      <c r="J53" s="199" t="s">
        <v>136</v>
      </c>
      <c r="K53" s="254"/>
    </row>
    <row r="54" spans="1:11" x14ac:dyDescent="0.25">
      <c r="A54" s="193"/>
      <c r="B54" s="246" t="s">
        <v>137</v>
      </c>
      <c r="C54" s="247"/>
      <c r="D54" s="247"/>
      <c r="E54" s="247"/>
      <c r="F54" s="247"/>
      <c r="G54" s="193"/>
      <c r="H54" s="193"/>
      <c r="I54" s="194"/>
      <c r="J54" s="193"/>
      <c r="K54" s="193"/>
    </row>
    <row r="55" spans="1:11" x14ac:dyDescent="0.25">
      <c r="A55" s="193"/>
      <c r="B55" s="193"/>
      <c r="C55" s="248"/>
      <c r="D55" s="248"/>
      <c r="E55" s="248"/>
      <c r="F55" s="248"/>
      <c r="G55" s="249"/>
      <c r="H55" s="193"/>
      <c r="I55" s="194"/>
      <c r="J55" s="193"/>
      <c r="K55" s="193"/>
    </row>
  </sheetData>
  <sheetProtection sheet="1" objects="1" scenarios="1"/>
  <mergeCells count="19">
    <mergeCell ref="B53:C53"/>
    <mergeCell ref="A38:A39"/>
    <mergeCell ref="B44:H44"/>
    <mergeCell ref="A17:A19"/>
    <mergeCell ref="B13:B19"/>
    <mergeCell ref="D14:D16"/>
    <mergeCell ref="B21:B23"/>
    <mergeCell ref="C21:C23"/>
    <mergeCell ref="C13:C16"/>
    <mergeCell ref="D20:E20"/>
    <mergeCell ref="D21:E21"/>
    <mergeCell ref="D22:E22"/>
    <mergeCell ref="D23:E23"/>
    <mergeCell ref="D24:E24"/>
    <mergeCell ref="A5:A6"/>
    <mergeCell ref="L5:N25"/>
    <mergeCell ref="B7:B12"/>
    <mergeCell ref="C7:C11"/>
    <mergeCell ref="D8:D11"/>
  </mergeCells>
  <conditionalFormatting sqref="K35">
    <cfRule type="expression" dxfId="14" priority="10">
      <formula>G35&lt;&gt;""</formula>
    </cfRule>
  </conditionalFormatting>
  <conditionalFormatting sqref="K36">
    <cfRule type="expression" dxfId="13" priority="9">
      <formula>G36&lt;&gt;""</formula>
    </cfRule>
  </conditionalFormatting>
  <conditionalFormatting sqref="K38">
    <cfRule type="expression" dxfId="12" priority="8">
      <formula>G38&lt;&gt;""</formula>
    </cfRule>
  </conditionalFormatting>
  <conditionalFormatting sqref="K39">
    <cfRule type="expression" dxfId="11" priority="7">
      <formula>G39&lt;&gt;""</formula>
    </cfRule>
  </conditionalFormatting>
  <conditionalFormatting sqref="K40">
    <cfRule type="expression" dxfId="10" priority="6">
      <formula>G40&lt;&gt;""</formula>
    </cfRule>
  </conditionalFormatting>
  <conditionalFormatting sqref="K46">
    <cfRule type="expression" dxfId="9" priority="5">
      <formula>G46&lt;&gt;""</formula>
    </cfRule>
  </conditionalFormatting>
  <conditionalFormatting sqref="K48">
    <cfRule type="expression" dxfId="8" priority="4">
      <formula>G48&lt;&gt;""</formula>
    </cfRule>
  </conditionalFormatting>
  <conditionalFormatting sqref="K49">
    <cfRule type="expression" dxfId="7" priority="3">
      <formula>G49&lt;&gt;""</formula>
    </cfRule>
  </conditionalFormatting>
  <conditionalFormatting sqref="K53">
    <cfRule type="expression" dxfId="6" priority="2">
      <formula>G53&lt;&gt;""</formula>
    </cfRule>
  </conditionalFormatting>
  <conditionalFormatting sqref="K34">
    <cfRule type="expression" dxfId="5" priority="1">
      <formula>SUM(G35:G53)&gt;0</formula>
    </cfRule>
  </conditionalFormatting>
  <hyperlinks>
    <hyperlink ref="K2" location="Anleitung!A1" display="zurück zu &quot;Anleitung&quot;" xr:uid="{00000000-0004-0000-0500-000000000000}"/>
  </hyperlink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25" customWidth="1"/>
    <col min="6" max="6" width="14.33203125" style="1" hidden="1" customWidth="1"/>
    <col min="7" max="16384" width="11.5546875" style="1"/>
  </cols>
  <sheetData>
    <row r="1" spans="1:7" x14ac:dyDescent="0.25">
      <c r="F1" s="7"/>
    </row>
    <row r="2" spans="1:7" x14ac:dyDescent="0.25">
      <c r="B2" s="2" t="s">
        <v>438</v>
      </c>
      <c r="E2" s="106" t="s">
        <v>20</v>
      </c>
      <c r="F2" s="7"/>
      <c r="G2" s="106"/>
    </row>
    <row r="3" spans="1:7" x14ac:dyDescent="0.25">
      <c r="F3" s="7"/>
    </row>
    <row r="4" spans="1:7" x14ac:dyDescent="0.25">
      <c r="B4" s="154" t="s">
        <v>138</v>
      </c>
      <c r="C4" s="89"/>
      <c r="D4" s="89"/>
      <c r="F4" s="7"/>
    </row>
    <row r="5" spans="1:7" x14ac:dyDescent="0.25">
      <c r="F5" s="125" t="str">
        <f>IF(Antriebsart1="Vollelektrisch (BEV)","Strom","nicht verfügbar")</f>
        <v>nicht verfügbar</v>
      </c>
    </row>
    <row r="6" spans="1:7" x14ac:dyDescent="0.25">
      <c r="B6" s="2" t="s">
        <v>43</v>
      </c>
      <c r="C6" s="54">
        <v>1</v>
      </c>
      <c r="F6" s="125" t="str">
        <f>IF(OR(Antriebsart1="Verbrenner",Antriebsart1="Plug-In-Hybrid (PHEV)"),"Diesel","nicht verfügbar")</f>
        <v>Diesel</v>
      </c>
    </row>
    <row r="7" spans="1:7" x14ac:dyDescent="0.25">
      <c r="B7" s="1" t="s">
        <v>52</v>
      </c>
      <c r="C7" s="102" t="str">
        <f>IF(Anbieter1=0,"",Anbieter1)</f>
        <v>A</v>
      </c>
      <c r="F7" s="125" t="str">
        <f>IF(OR(Antriebsart1="Verbrenner",Antriebsart1="Plug-In-Hybrid (PHEV)"),"Benzin","nicht verfügbar")</f>
        <v>Benzin</v>
      </c>
    </row>
    <row r="8" spans="1:7" x14ac:dyDescent="0.25">
      <c r="C8" s="102"/>
      <c r="F8" s="125" t="str">
        <f>IF(Antriebsart1="Verbrenner","Erdgas (CNG)","nicht verfügbar")</f>
        <v>Erdgas (CNG)</v>
      </c>
    </row>
    <row r="9" spans="1:7" x14ac:dyDescent="0.25">
      <c r="B9" s="2" t="s">
        <v>139</v>
      </c>
      <c r="C9" s="102"/>
      <c r="F9" s="125"/>
    </row>
    <row r="10" spans="1:7" x14ac:dyDescent="0.25">
      <c r="B10" s="1" t="s">
        <v>140</v>
      </c>
      <c r="C10" s="102" t="str">
        <f>IF(Hersteller1=0,"",Hersteller1)</f>
        <v>Peugeot</v>
      </c>
      <c r="D10" s="55"/>
      <c r="F10" s="125"/>
    </row>
    <row r="11" spans="1:7" x14ac:dyDescent="0.25">
      <c r="B11" s="1" t="s">
        <v>60</v>
      </c>
      <c r="C11" s="102" t="str">
        <f>IF(Modell1=0,"",Modell1)</f>
        <v>Expert</v>
      </c>
      <c r="D11" s="55"/>
      <c r="F11" s="125"/>
    </row>
    <row r="12" spans="1:7" ht="43.95" customHeight="1" x14ac:dyDescent="0.25">
      <c r="B12" s="56" t="s">
        <v>141</v>
      </c>
      <c r="C12" s="102" t="str">
        <f>IF(Zusatzinfo1=0,"",Zusatzinfo1)</f>
        <v>Kastenwagen Standard BlueHDi 120 S&amp;S</v>
      </c>
      <c r="D12" s="55"/>
      <c r="F12" s="125"/>
    </row>
    <row r="13" spans="1:7" x14ac:dyDescent="0.25">
      <c r="B13" s="57" t="s">
        <v>44</v>
      </c>
      <c r="C13" s="102" t="str">
        <f>IF(Antriebsart1=0,"",Antriebsart1)</f>
        <v>Verbrenner</v>
      </c>
      <c r="F13" s="7"/>
    </row>
    <row r="14" spans="1:7" x14ac:dyDescent="0.25">
      <c r="A14" s="107"/>
      <c r="B14" s="2" t="s">
        <v>48</v>
      </c>
      <c r="C14" s="102" t="str">
        <f>IF(Energie1=0,"",Energie1)</f>
        <v>Diesel</v>
      </c>
      <c r="D14" s="88"/>
      <c r="E14" s="133"/>
      <c r="F14" s="7"/>
    </row>
    <row r="15" spans="1:7" s="125" customFormat="1" ht="13.95" customHeight="1" x14ac:dyDescent="0.25">
      <c r="A15" s="124"/>
      <c r="C15" s="127"/>
      <c r="F15" s="7"/>
    </row>
    <row r="16" spans="1:7" x14ac:dyDescent="0.25">
      <c r="B16" s="154" t="s">
        <v>142</v>
      </c>
      <c r="C16" s="3"/>
      <c r="D16" s="3"/>
      <c r="F16" s="125"/>
    </row>
    <row r="17" spans="1:6" x14ac:dyDescent="0.25">
      <c r="B17" s="66"/>
      <c r="C17" s="66"/>
      <c r="D17" s="66"/>
      <c r="F17" s="125"/>
    </row>
    <row r="18" spans="1:6" x14ac:dyDescent="0.25">
      <c r="B18" s="72" t="s">
        <v>143</v>
      </c>
      <c r="C18" s="288">
        <f>0.0057*(ReichwPHEV1/23)^3-0.0838*(ReichwPHEV1/23)^2+0.4261*(ReichwPHEV1/23)+ 0.1633</f>
        <v>0.1633</v>
      </c>
      <c r="D18" s="184"/>
      <c r="F18" s="125"/>
    </row>
    <row r="19" spans="1:6" x14ac:dyDescent="0.25">
      <c r="B19" s="1" t="s">
        <v>144</v>
      </c>
      <c r="C19" s="289">
        <f>Verbrauch1/(1-0.9*C18)</f>
        <v>5.7442293940424145</v>
      </c>
      <c r="D19" s="7" t="s">
        <v>69</v>
      </c>
      <c r="F19" s="125"/>
    </row>
    <row r="20" spans="1:6" x14ac:dyDescent="0.25">
      <c r="B20" s="72" t="s">
        <v>145</v>
      </c>
      <c r="C20" s="290">
        <f>VerbEl_WLTP1/C18</f>
        <v>0</v>
      </c>
      <c r="D20" s="184" t="s">
        <v>70</v>
      </c>
      <c r="F20" s="125"/>
    </row>
    <row r="21" spans="1:6" x14ac:dyDescent="0.25">
      <c r="B21" s="186" t="s">
        <v>146</v>
      </c>
      <c r="C21" s="291">
        <f>0.0021*(ReichwPHEV1/23)^3-0.0358*(ReichwPHEV1/23)^2+0.2607*(ReichwPHEV1/23)- 0.0267</f>
        <v>-2.6700000000000002E-2</v>
      </c>
      <c r="D21" s="187"/>
      <c r="F21" s="125"/>
    </row>
    <row r="22" spans="1:6" x14ac:dyDescent="0.25">
      <c r="A22" s="471" t="s">
        <v>11</v>
      </c>
      <c r="B22" s="470" t="s">
        <v>147</v>
      </c>
      <c r="C22" s="292">
        <f>C19*(1-0.9*C21)</f>
        <v>5.8822632263812533</v>
      </c>
      <c r="D22" s="185" t="s">
        <v>69</v>
      </c>
      <c r="F22" s="125"/>
    </row>
    <row r="23" spans="1:6" x14ac:dyDescent="0.25">
      <c r="A23" s="471"/>
      <c r="B23" s="430"/>
      <c r="C23" s="292">
        <f>C20*C21</f>
        <v>0</v>
      </c>
      <c r="D23" s="183" t="s">
        <v>70</v>
      </c>
      <c r="F23" s="125"/>
    </row>
    <row r="24" spans="1:6" s="125" customFormat="1" ht="14.4" x14ac:dyDescent="0.25">
      <c r="A24" s="126"/>
      <c r="C24" s="181"/>
      <c r="D24" s="7"/>
    </row>
    <row r="25" spans="1:6" x14ac:dyDescent="0.25">
      <c r="B25" s="154" t="s">
        <v>148</v>
      </c>
      <c r="C25" s="89"/>
      <c r="D25" s="89"/>
      <c r="F25" s="107"/>
    </row>
    <row r="26" spans="1:6" x14ac:dyDescent="0.25">
      <c r="F26" s="125"/>
    </row>
    <row r="27" spans="1:6" x14ac:dyDescent="0.25">
      <c r="B27" s="60" t="s">
        <v>87</v>
      </c>
      <c r="C27" s="61"/>
      <c r="D27" s="60"/>
      <c r="F27" s="125"/>
    </row>
    <row r="28" spans="1:6" x14ac:dyDescent="0.25">
      <c r="B28" s="1" t="s">
        <v>149</v>
      </c>
      <c r="C28" s="279">
        <f>IF(Antriebsart1="Vollelektrisch (BEV)",0,IFERROR(VLOOKUP(Energie1,EnKostList,8,FALSE),0)*IF(Antriebsart1="Plug-In-Hybrid (PHEV)",VerbPHEV1,Verbrauch1)/100*Fahrleistung)</f>
        <v>2048.1999999999998</v>
      </c>
      <c r="D28" s="2" t="s">
        <v>150</v>
      </c>
      <c r="F28" s="125"/>
    </row>
    <row r="29" spans="1:6" x14ac:dyDescent="0.25">
      <c r="B29" s="1" t="s">
        <v>49</v>
      </c>
      <c r="C29" s="279">
        <f>IF(Antriebsart1="Verbrenner",0,VLOOKUP("Strom",EnKostList,8,FALSE)*IF(Antriebsart1="Plug-In-Hybrid (PHEV)",VerbElPHEV1,VerbEl_WLTP1)/100*Fahrleistung)</f>
        <v>0</v>
      </c>
      <c r="D29" s="2" t="s">
        <v>150</v>
      </c>
    </row>
    <row r="30" spans="1:6" ht="14.4" thickBot="1" x14ac:dyDescent="0.3">
      <c r="B30" s="64" t="s">
        <v>91</v>
      </c>
      <c r="C30" s="280">
        <f>SUM(C28:C29)</f>
        <v>2048.1999999999998</v>
      </c>
      <c r="D30" s="64" t="s">
        <v>150</v>
      </c>
    </row>
    <row r="31" spans="1:6" ht="14.4" thickTop="1" x14ac:dyDescent="0.25">
      <c r="C31" s="10"/>
      <c r="D31" s="2"/>
    </row>
    <row r="32" spans="1:6" x14ac:dyDescent="0.25">
      <c r="B32" s="60" t="s">
        <v>151</v>
      </c>
      <c r="C32" s="145" t="str">
        <f>CONCATENATE("Energieträger: ",Energie1)</f>
        <v>Energieträger: Diesel</v>
      </c>
      <c r="D32" s="60"/>
      <c r="F32" s="146"/>
    </row>
    <row r="33" spans="1:6" ht="16.2" x14ac:dyDescent="0.35">
      <c r="B33" s="1" t="s">
        <v>152</v>
      </c>
      <c r="C33" s="279">
        <f>IF(Antriebsart1="Plug-In-Hybrid (PHEV)",VerbPHEV1*VLOOKUP(Energie1,CO2List,2,FALSE)/100,CO2_1)*Fahrleistung/1000000</f>
        <v>3.25</v>
      </c>
      <c r="D33" s="2" t="s">
        <v>153</v>
      </c>
      <c r="F33" s="107"/>
    </row>
    <row r="34" spans="1:6" x14ac:dyDescent="0.25">
      <c r="B34" s="1" t="s">
        <v>129</v>
      </c>
      <c r="C34" s="279">
        <f>C33*Kost_THG</f>
        <v>2795</v>
      </c>
      <c r="D34" s="2" t="s">
        <v>150</v>
      </c>
    </row>
    <row r="35" spans="1:6" x14ac:dyDescent="0.25">
      <c r="B35" s="1" t="s">
        <v>154</v>
      </c>
      <c r="C35" s="279">
        <f>IF(Energie1="Strom",0,NOX_1*Fahrleistung*Kost_NOX/1000)</f>
        <v>29.3</v>
      </c>
      <c r="D35" s="2" t="s">
        <v>150</v>
      </c>
    </row>
    <row r="36" spans="1:6" x14ac:dyDescent="0.25">
      <c r="B36" s="1" t="s">
        <v>75</v>
      </c>
      <c r="C36" s="279">
        <f>IF(Energie1="Strom",0,Partikel1*Fahrleistung*Kost_Partikel/1000)</f>
        <v>1.575</v>
      </c>
      <c r="D36" s="2" t="s">
        <v>150</v>
      </c>
    </row>
    <row r="37" spans="1:6" ht="14.4" thickBot="1" x14ac:dyDescent="0.3">
      <c r="B37" s="64" t="s">
        <v>91</v>
      </c>
      <c r="C37" s="280">
        <f>SUM(C34:C36)</f>
        <v>2825.875</v>
      </c>
      <c r="D37" s="64" t="s">
        <v>150</v>
      </c>
    </row>
    <row r="38" spans="1:6" ht="14.4" thickTop="1" x14ac:dyDescent="0.25">
      <c r="D38" s="2"/>
    </row>
    <row r="39" spans="1:6" x14ac:dyDescent="0.25">
      <c r="B39" s="60" t="s">
        <v>155</v>
      </c>
      <c r="C39" s="145" t="str">
        <f>CONCATENATE("Energieträger: ",Energie1,IF(Antriebsart1="Plug-In-Hybrid (PHEV)","+Strom",""))</f>
        <v>Energieträger: Diesel</v>
      </c>
      <c r="D39" s="60"/>
    </row>
    <row r="40" spans="1:6" ht="16.2" x14ac:dyDescent="0.35">
      <c r="B40" s="1" t="s">
        <v>152</v>
      </c>
      <c r="C40" s="279">
        <f>IFERROR(IF(Antriebsart1="Vollelektrisch (BEV)",VLOOKUP("Strom",CO2List,3,FALSE)*VerbEl_WLTP1/100*Fahrleistung/1000000,IF(Antriebsart1="Verbrenner",VLOOKUP(Energie1,CO2List,3,FALSE)*Verbrauch1/100*Fahrleistung/1000000,VLOOKUP(Energie1,CO2List,3,FALSE)*VerbPHEV1/100*Fahrleistung/1000000+VLOOKUP("Strom",CO2List,3,FALSE)*VerbElPHEV1/100*Fahrleistung/1000000)),0)</f>
        <v>1.0188889401600001</v>
      </c>
      <c r="D40" s="2" t="s">
        <v>153</v>
      </c>
      <c r="F40" s="107"/>
    </row>
    <row r="41" spans="1:6" x14ac:dyDescent="0.25">
      <c r="B41" s="1" t="s">
        <v>156</v>
      </c>
      <c r="C41" s="279">
        <f>C40*Kost_THG</f>
        <v>876.24448853760009</v>
      </c>
      <c r="D41" s="2" t="s">
        <v>150</v>
      </c>
    </row>
    <row r="43" spans="1:6" x14ac:dyDescent="0.25">
      <c r="B43" s="154" t="s">
        <v>157</v>
      </c>
      <c r="C43" s="89"/>
      <c r="D43" s="89"/>
      <c r="F43" s="107"/>
    </row>
    <row r="44" spans="1:6" x14ac:dyDescent="0.25">
      <c r="B44" s="30"/>
      <c r="C44" s="30"/>
      <c r="D44" s="30"/>
    </row>
    <row r="45" spans="1:6" x14ac:dyDescent="0.25">
      <c r="A45" s="107"/>
      <c r="B45" s="90" t="s">
        <v>158</v>
      </c>
      <c r="C45" s="134" t="s">
        <v>159</v>
      </c>
      <c r="D45" s="62"/>
    </row>
    <row r="46" spans="1:6" ht="16.2" customHeight="1" x14ac:dyDescent="0.25">
      <c r="A46" s="404" t="s">
        <v>11</v>
      </c>
      <c r="B46" s="468" t="s">
        <v>152</v>
      </c>
      <c r="C46" s="281">
        <f>IF(OR(Antriebsart1="Vollelektrisch (BEV)",Antriebsart1="Plug-In-Hybrid (PHEV)"),Batterie1*Batterie_THG/1000,0)</f>
        <v>0</v>
      </c>
      <c r="D46" s="131" t="s">
        <v>160</v>
      </c>
      <c r="E46" s="127"/>
      <c r="F46" s="107"/>
    </row>
    <row r="47" spans="1:6" ht="16.2" customHeight="1" x14ac:dyDescent="0.25">
      <c r="A47" s="404"/>
      <c r="B47" s="469"/>
      <c r="C47" s="281">
        <f>IF((Fahrleistung*16)&lt;220000,C46*10^6/(Fahrleistung*16),C46*10^6/220000)</f>
        <v>0</v>
      </c>
      <c r="D47" s="130" t="s">
        <v>161</v>
      </c>
      <c r="E47" s="127"/>
      <c r="F47" s="107"/>
    </row>
    <row r="48" spans="1:6" x14ac:dyDescent="0.25">
      <c r="B48" s="1" t="s">
        <v>162</v>
      </c>
      <c r="C48" s="279">
        <f>IF(C47*Fahrleistung/10^6*Haltedauer&lt;C46, C47*Fahrleistung/10^6*Kost_THG, C46/Haltedauer*Kost_THG)</f>
        <v>0</v>
      </c>
      <c r="D48" s="2" t="s">
        <v>150</v>
      </c>
    </row>
    <row r="49" spans="1:6" ht="13.8" customHeight="1" x14ac:dyDescent="0.25">
      <c r="D49" s="2"/>
    </row>
    <row r="50" spans="1:6" ht="13.8" customHeight="1" x14ac:dyDescent="0.25">
      <c r="F50" s="107"/>
    </row>
    <row r="51" spans="1:6" x14ac:dyDescent="0.25">
      <c r="B51" s="154" t="str">
        <f>CONCATENATE("Lebenszykluskosten"," (Haltedauer: ",Haltedauer," Jahre)")</f>
        <v>Lebenszykluskosten (Haltedauer: 7 Jahre)</v>
      </c>
      <c r="C51" s="89"/>
      <c r="D51" s="89"/>
    </row>
    <row r="52" spans="1:6" x14ac:dyDescent="0.25">
      <c r="B52" s="1" t="s">
        <v>163</v>
      </c>
    </row>
    <row r="54" spans="1:6" x14ac:dyDescent="0.25">
      <c r="B54" s="68" t="s">
        <v>164</v>
      </c>
      <c r="C54" s="282">
        <f>IF(FinArt="Kauf",IF(KaufpreisRech="Kaufpreis",Gesamtpreis1,0),Gesamtpreis1*Haltedauer*12+IF(FinArt="Leasing",LeasSondZahl1,0))</f>
        <v>0</v>
      </c>
      <c r="D54" s="68" t="s">
        <v>65</v>
      </c>
      <c r="F54" s="58"/>
    </row>
    <row r="55" spans="1:6" ht="14.4" x14ac:dyDescent="0.25">
      <c r="A55" s="305" t="s">
        <v>11</v>
      </c>
      <c r="B55" s="1" t="s">
        <v>439</v>
      </c>
      <c r="C55" s="283">
        <f>IF(AND(KaufpreisRech="Wertminderung",FinArt="Kauf"),Gesamtpreis1-Gesamtpreis1*(-0.2*LN(Haltedauer)+0.667),0)</f>
        <v>26555.355418182582</v>
      </c>
      <c r="D55" s="1" t="s">
        <v>65</v>
      </c>
      <c r="F55" s="58"/>
    </row>
    <row r="56" spans="1:6" ht="13.8" customHeight="1" x14ac:dyDescent="0.25">
      <c r="B56" s="1" t="s">
        <v>87</v>
      </c>
      <c r="C56" s="283">
        <f>C30*Haltedauer</f>
        <v>14337.399999999998</v>
      </c>
      <c r="D56" s="1" t="s">
        <v>65</v>
      </c>
      <c r="F56" s="58"/>
    </row>
    <row r="57" spans="1:6" x14ac:dyDescent="0.25">
      <c r="B57" s="1" t="s">
        <v>165</v>
      </c>
      <c r="C57" s="283">
        <f>C37*Haltedauer</f>
        <v>19781.125</v>
      </c>
      <c r="D57" s="1" t="s">
        <v>65</v>
      </c>
      <c r="F57" s="58"/>
    </row>
    <row r="58" spans="1:6" x14ac:dyDescent="0.25">
      <c r="B58" s="1" t="s">
        <v>156</v>
      </c>
      <c r="C58" s="283">
        <f>C41*Haltedauer</f>
        <v>6133.7114197632009</v>
      </c>
      <c r="D58" s="1" t="s">
        <v>65</v>
      </c>
      <c r="F58" s="58"/>
    </row>
    <row r="59" spans="1:6" x14ac:dyDescent="0.25">
      <c r="B59" s="329" t="s">
        <v>90</v>
      </c>
      <c r="C59" s="330">
        <f>C48*Haltedauer</f>
        <v>0</v>
      </c>
      <c r="D59" s="329" t="s">
        <v>65</v>
      </c>
      <c r="F59" s="147"/>
    </row>
    <row r="60" spans="1:6" ht="13.8" customHeight="1" x14ac:dyDescent="0.25">
      <c r="A60" s="404" t="s">
        <v>11</v>
      </c>
      <c r="B60" s="327" t="str">
        <f>IF(ISBLANK(Zusatzangabe_x), "", Zusatzangabe_x)</f>
        <v>Kfz-Steuer</v>
      </c>
      <c r="C60" s="328">
        <f>IF(ISBLANK(Zusatzangabe_x), "", Zusatzangabe_x1*Haltedauer)</f>
        <v>1120</v>
      </c>
      <c r="D60" s="327" t="str">
        <f>IF(ISBLANK(Zusatzangabe_x), "", "EUR")</f>
        <v>EUR</v>
      </c>
      <c r="F60" s="147"/>
    </row>
    <row r="61" spans="1:6" ht="13.8" customHeight="1" x14ac:dyDescent="0.25">
      <c r="A61" s="404"/>
      <c r="B61" s="327" t="str">
        <f>IF(ISBLANK(Zusatzangabe_y), "", Zusatzangabe_y)</f>
        <v/>
      </c>
      <c r="C61" s="328" t="str">
        <f>IF(ISBLANK(Zusatzangabe_y), "", Zusatzangabe_y1*Haltedauer)</f>
        <v/>
      </c>
      <c r="D61" s="327" t="str">
        <f>IF(ISBLANK(Zusatzangabe_y), "", "EUR")</f>
        <v/>
      </c>
      <c r="F61" s="147"/>
    </row>
    <row r="62" spans="1:6" x14ac:dyDescent="0.25">
      <c r="A62" s="404"/>
      <c r="B62" s="327" t="str">
        <f>IF(ISBLANK(Zusatzangabe_z), "", Zusatzangabe_z)</f>
        <v/>
      </c>
      <c r="C62" s="328" t="str">
        <f>IF(ISBLANK(Zusatzangabe_z), "", Zusatzangabe_z1*Haltedauer)</f>
        <v/>
      </c>
      <c r="D62" s="327" t="str">
        <f>IF(ISBLANK(Zusatzangabe_z), "", "EUR")</f>
        <v/>
      </c>
      <c r="F62" s="147"/>
    </row>
    <row r="63" spans="1:6" ht="14.4" thickBot="1" x14ac:dyDescent="0.3">
      <c r="B63" s="64" t="s">
        <v>91</v>
      </c>
      <c r="C63" s="284">
        <f>SUM(C54:C62)</f>
        <v>67927.591837945787</v>
      </c>
      <c r="D63" s="64" t="s">
        <v>65</v>
      </c>
      <c r="F63" s="58"/>
    </row>
    <row r="64" spans="1:6" ht="14.4" thickTop="1" x14ac:dyDescent="0.25">
      <c r="C64" s="10"/>
    </row>
    <row r="65" spans="2:4" ht="16.2" x14ac:dyDescent="0.35">
      <c r="B65" s="68" t="s">
        <v>166</v>
      </c>
      <c r="C65" s="285">
        <f>IF(C47*Fahrleistung/10^6*Haltedauer&lt;C46, C47*Fahrleistung/10^6*Haltedauer, C46)</f>
        <v>0</v>
      </c>
      <c r="D65" s="68" t="s">
        <v>167</v>
      </c>
    </row>
    <row r="66" spans="2:4" ht="16.2" x14ac:dyDescent="0.35">
      <c r="B66" s="72" t="s">
        <v>96</v>
      </c>
      <c r="C66" s="286">
        <f>C33*Haltedauer+C40*Haltedauer</f>
        <v>29.882222581120001</v>
      </c>
      <c r="D66" s="72" t="s">
        <v>167</v>
      </c>
    </row>
  </sheetData>
  <sheetProtection sheet="1" objects="1" scenarios="1"/>
  <mergeCells count="5">
    <mergeCell ref="B46:B47"/>
    <mergeCell ref="A46:A47"/>
    <mergeCell ref="B22:B23"/>
    <mergeCell ref="A22:A23"/>
    <mergeCell ref="A60:A62"/>
  </mergeCells>
  <conditionalFormatting sqref="A16:D23">
    <cfRule type="expression" dxfId="4" priority="7">
      <formula>Antriebsart1&lt;&gt;"Plug-In-Hybrid (PHEV)"</formula>
    </cfRule>
  </conditionalFormatting>
  <hyperlinks>
    <hyperlink ref="E2" location="Anleitung!A1" display="zurück zu &quot;Anleitung&quot;" xr:uid="{00000000-0004-0000-0600-000000000000}"/>
  </hyperlinks>
  <pageMargins left="0.25" right="0.25" top="0.75" bottom="0.75" header="0.3" footer="0.3"/>
  <pageSetup paperSize="9" scale="8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437</v>
      </c>
      <c r="E2" s="106" t="s">
        <v>20</v>
      </c>
      <c r="F2" s="125"/>
    </row>
    <row r="3" spans="1:6" x14ac:dyDescent="0.25">
      <c r="E3" s="125"/>
      <c r="F3" s="125"/>
    </row>
    <row r="4" spans="1:6" x14ac:dyDescent="0.25">
      <c r="B4" s="154" t="s">
        <v>138</v>
      </c>
      <c r="C4" s="3"/>
      <c r="D4" s="3"/>
      <c r="E4" s="125"/>
      <c r="F4" s="125"/>
    </row>
    <row r="5" spans="1:6" x14ac:dyDescent="0.25">
      <c r="E5" s="125"/>
      <c r="F5" s="125" t="str">
        <f>IF(Antriebsart2="Vollelektrisch (BEV)","Strom","nicht verfügbar")</f>
        <v>nicht verfügbar</v>
      </c>
    </row>
    <row r="6" spans="1:6" x14ac:dyDescent="0.25">
      <c r="B6" s="2" t="s">
        <v>43</v>
      </c>
      <c r="C6" s="54">
        <v>2</v>
      </c>
      <c r="E6" s="125"/>
      <c r="F6" s="125" t="str">
        <f>IF(OR(Antriebsart2="Verbrenner",Antriebsart2="Plug-In-Hybrid (PHEV)"),"Diesel","nicht verfügbar")</f>
        <v>Diesel</v>
      </c>
    </row>
    <row r="7" spans="1:6" x14ac:dyDescent="0.25">
      <c r="B7" s="1" t="s">
        <v>52</v>
      </c>
      <c r="C7" s="102" t="str">
        <f>IF(Anbieter2=0,"",Anbieter2)</f>
        <v>B</v>
      </c>
      <c r="E7" s="125"/>
      <c r="F7" s="125" t="str">
        <f>IF(OR(Antriebsart2="Verbrenner",Antriebsart2="Plug-In-Hybrid (PHEV)"),"Benzin","nicht verfügbar")</f>
        <v>Benzin</v>
      </c>
    </row>
    <row r="8" spans="1:6" x14ac:dyDescent="0.25">
      <c r="C8" s="102"/>
      <c r="E8" s="125"/>
      <c r="F8" s="125" t="str">
        <f>IF(Antriebsart2="Verbrenner","Erdgas (CNG)","nicht verfügbar")</f>
        <v>Erdgas (CNG)</v>
      </c>
    </row>
    <row r="9" spans="1:6" x14ac:dyDescent="0.25">
      <c r="B9" s="2" t="s">
        <v>139</v>
      </c>
      <c r="C9" s="102"/>
      <c r="E9" s="125"/>
      <c r="F9" s="125"/>
    </row>
    <row r="10" spans="1:6" x14ac:dyDescent="0.25">
      <c r="B10" s="1" t="s">
        <v>140</v>
      </c>
      <c r="C10" s="102" t="str">
        <f>IF(Hersteller2=0,"",Hersteller2)</f>
        <v>Toyota</v>
      </c>
      <c r="D10" s="55"/>
      <c r="E10" s="125"/>
      <c r="F10" s="125"/>
    </row>
    <row r="11" spans="1:6" x14ac:dyDescent="0.25">
      <c r="B11" s="1" t="s">
        <v>60</v>
      </c>
      <c r="C11" s="102" t="str">
        <f>IF(Modell2=0,"",Modell2)</f>
        <v>Proace City</v>
      </c>
      <c r="D11" s="55"/>
      <c r="E11" s="125"/>
      <c r="F11" s="125"/>
    </row>
    <row r="12" spans="1:6" ht="43.95" customHeight="1" x14ac:dyDescent="0.25">
      <c r="B12" s="56" t="s">
        <v>141</v>
      </c>
      <c r="C12" s="102" t="str">
        <f>IF(Zusatzinfo2=0,"",Zusatzinfo2)</f>
        <v>Kastenwagen L2 1.5 D-4D Select (4-Türer)</v>
      </c>
      <c r="D12" s="55"/>
      <c r="E12" s="125"/>
      <c r="F12" s="125"/>
    </row>
    <row r="13" spans="1:6" x14ac:dyDescent="0.25">
      <c r="B13" s="57" t="s">
        <v>44</v>
      </c>
      <c r="C13" s="102" t="str">
        <f>IF(Antriebsart2=0,"",Antriebsart2)</f>
        <v>Verbrenner</v>
      </c>
      <c r="E13" s="125"/>
      <c r="F13" s="125"/>
    </row>
    <row r="14" spans="1:6" x14ac:dyDescent="0.25">
      <c r="B14" s="2" t="s">
        <v>48</v>
      </c>
      <c r="C14" s="102" t="str">
        <f>IF(Energie2=0,"",Energie2)</f>
        <v>Diesel</v>
      </c>
      <c r="D14" s="88"/>
      <c r="E14" s="125"/>
      <c r="F14" s="125"/>
    </row>
    <row r="15" spans="1:6" s="125" customFormat="1" ht="14.4" x14ac:dyDescent="0.25">
      <c r="A15" s="126"/>
      <c r="C15" s="127"/>
    </row>
    <row r="16" spans="1:6" x14ac:dyDescent="0.25">
      <c r="B16" s="154" t="s">
        <v>142</v>
      </c>
      <c r="C16" s="3"/>
      <c r="D16" s="3"/>
      <c r="E16" s="125"/>
      <c r="F16" s="125"/>
    </row>
    <row r="17" spans="1:6" x14ac:dyDescent="0.25">
      <c r="B17" s="66"/>
      <c r="C17" s="66"/>
      <c r="D17" s="66"/>
      <c r="E17" s="125"/>
      <c r="F17" s="125"/>
    </row>
    <row r="18" spans="1:6" x14ac:dyDescent="0.25">
      <c r="B18" s="72" t="s">
        <v>143</v>
      </c>
      <c r="C18" s="288">
        <f>0.0057*(ReichwPHEV2/23)^3-0.0838*(ReichwPHEV2/23)^2+0.4261*(ReichwPHEV2/23)+ 0.1633</f>
        <v>0.1633</v>
      </c>
      <c r="D18" s="184"/>
      <c r="E18" s="125"/>
      <c r="F18" s="125"/>
    </row>
    <row r="19" spans="1:6" x14ac:dyDescent="0.25">
      <c r="B19" s="1" t="s">
        <v>144</v>
      </c>
      <c r="C19" s="289">
        <f>Verbrauch2/(1-0.9*C18)</f>
        <v>6.6820627644983182</v>
      </c>
      <c r="D19" s="7" t="s">
        <v>69</v>
      </c>
      <c r="E19" s="125"/>
      <c r="F19" s="125"/>
    </row>
    <row r="20" spans="1:6" x14ac:dyDescent="0.25">
      <c r="B20" s="72" t="s">
        <v>145</v>
      </c>
      <c r="C20" s="290">
        <f>VerbEl_WLTP2/C18</f>
        <v>0</v>
      </c>
      <c r="D20" s="184" t="s">
        <v>70</v>
      </c>
      <c r="E20" s="125"/>
      <c r="F20" s="125"/>
    </row>
    <row r="21" spans="1:6" x14ac:dyDescent="0.25">
      <c r="B21" s="186" t="s">
        <v>146</v>
      </c>
      <c r="C21" s="291">
        <f>0.0021*(ReichwPHEV2/23)^3-0.0358*(ReichwPHEV2/23)^2+0.2607*(ReichwPHEV2/23)- 0.0267</f>
        <v>-2.6700000000000002E-2</v>
      </c>
      <c r="D21" s="187"/>
      <c r="E21" s="125"/>
      <c r="F21" s="125"/>
    </row>
    <row r="22" spans="1:6" x14ac:dyDescent="0.25">
      <c r="A22" s="471" t="s">
        <v>11</v>
      </c>
      <c r="B22" s="470" t="s">
        <v>147</v>
      </c>
      <c r="C22" s="292">
        <f>C19*(1-0.9*C21)</f>
        <v>6.8426327327292125</v>
      </c>
      <c r="D22" s="185" t="s">
        <v>69</v>
      </c>
      <c r="E22" s="125"/>
      <c r="F22" s="125"/>
    </row>
    <row r="23" spans="1:6" x14ac:dyDescent="0.25">
      <c r="A23" s="471"/>
      <c r="B23" s="430"/>
      <c r="C23" s="292">
        <f>C20*C21</f>
        <v>0</v>
      </c>
      <c r="D23" s="183" t="s">
        <v>70</v>
      </c>
      <c r="E23" s="125"/>
      <c r="F23" s="125"/>
    </row>
    <row r="24" spans="1:6" s="125" customFormat="1" ht="14.4" x14ac:dyDescent="0.25">
      <c r="A24" s="126"/>
      <c r="C24" s="181"/>
      <c r="D24" s="7"/>
    </row>
    <row r="25" spans="1:6" x14ac:dyDescent="0.25">
      <c r="B25" s="154" t="s">
        <v>148</v>
      </c>
      <c r="C25" s="3"/>
      <c r="D25" s="3"/>
      <c r="E25" s="125"/>
      <c r="F25" s="125"/>
    </row>
    <row r="26" spans="1:6" x14ac:dyDescent="0.25">
      <c r="E26" s="125"/>
      <c r="F26" s="125"/>
    </row>
    <row r="27" spans="1:6" x14ac:dyDescent="0.25">
      <c r="B27" s="60" t="s">
        <v>87</v>
      </c>
      <c r="C27" s="61"/>
      <c r="D27" s="60"/>
      <c r="E27" s="125"/>
      <c r="F27" s="125"/>
    </row>
    <row r="28" spans="1:6" x14ac:dyDescent="0.25">
      <c r="B28" s="1" t="s">
        <v>149</v>
      </c>
      <c r="C28" s="279">
        <f>IF(Antriebsart2="Vollelektrisch (BEV)",0,IFERROR(VLOOKUP(Energie2,EnKostList,8,FALSE),0)*IF(Antriebsart2="Plug-In-Hybrid (PHEV)",VerbPHEV2,Verbrauch2)/100*Fahrleistung)</f>
        <v>2382.6</v>
      </c>
      <c r="D28" s="2" t="s">
        <v>150</v>
      </c>
      <c r="E28" s="125"/>
      <c r="F28" s="125"/>
    </row>
    <row r="29" spans="1:6" x14ac:dyDescent="0.25">
      <c r="B29" s="1" t="s">
        <v>49</v>
      </c>
      <c r="C29" s="279">
        <f>IF(Antriebsart2="Verbrenner",0,VLOOKUP("Strom",EnKostList,8,FALSE)*IF(Antriebsart2="Plug-In-Hybrid (PHEV)",VerbElPHEV2,VerbEl_WLTP2)/100*Fahrleistung)</f>
        <v>0</v>
      </c>
      <c r="D29" s="2" t="s">
        <v>150</v>
      </c>
      <c r="E29" s="125"/>
      <c r="F29" s="125"/>
    </row>
    <row r="30" spans="1:6" ht="14.4" thickBot="1" x14ac:dyDescent="0.3">
      <c r="B30" s="64" t="s">
        <v>91</v>
      </c>
      <c r="C30" s="280">
        <f>SUM(C28:C29)</f>
        <v>2382.6</v>
      </c>
      <c r="D30" s="64" t="s">
        <v>150</v>
      </c>
      <c r="E30" s="125"/>
      <c r="F30" s="125"/>
    </row>
    <row r="31" spans="1:6" ht="14.4" thickTop="1" x14ac:dyDescent="0.25">
      <c r="C31" s="10"/>
      <c r="D31" s="2"/>
      <c r="E31" s="125"/>
      <c r="F31" s="125"/>
    </row>
    <row r="32" spans="1:6" x14ac:dyDescent="0.25">
      <c r="B32" s="60" t="s">
        <v>151</v>
      </c>
      <c r="C32" s="145" t="str">
        <f>CONCATENATE("Energieträger: ",Energie2)</f>
        <v>Energieträger: Diesel</v>
      </c>
      <c r="D32" s="60"/>
      <c r="E32" s="125"/>
      <c r="F32" s="125"/>
    </row>
    <row r="33" spans="1:6" ht="16.2" x14ac:dyDescent="0.35">
      <c r="B33" s="1" t="s">
        <v>152</v>
      </c>
      <c r="C33" s="279">
        <f>IF(Antriebsart2="Plug-In-Hybrid (PHEV)",VerbPHEV2*VLOOKUP(Energie2,CO2List,2,FALSE)/100,CO2_2)*Fahrleistung/1000000</f>
        <v>3.7250000000000001</v>
      </c>
      <c r="D33" s="2" t="s">
        <v>153</v>
      </c>
      <c r="E33" s="125"/>
      <c r="F33" s="125"/>
    </row>
    <row r="34" spans="1:6" x14ac:dyDescent="0.25">
      <c r="B34" s="1" t="s">
        <v>129</v>
      </c>
      <c r="C34" s="279">
        <f>C33*Kost_THG</f>
        <v>3203.5</v>
      </c>
      <c r="D34" s="2" t="s">
        <v>150</v>
      </c>
      <c r="E34" s="125"/>
      <c r="F34" s="125"/>
    </row>
    <row r="35" spans="1:6" x14ac:dyDescent="0.25">
      <c r="B35" s="7" t="s">
        <v>154</v>
      </c>
      <c r="C35" s="287">
        <f>IF(Energie2="Strom",0,NOX_2*Fahrleistung*Kost_NOX/1000)</f>
        <v>21.2</v>
      </c>
      <c r="D35" s="65" t="s">
        <v>150</v>
      </c>
      <c r="E35" s="125"/>
      <c r="F35" s="125"/>
    </row>
    <row r="36" spans="1:6" x14ac:dyDescent="0.25">
      <c r="B36" s="7" t="s">
        <v>75</v>
      </c>
      <c r="C36" s="287">
        <f>IF(Energie2="Strom",0,Partikel2*Fahrleistung*Kost_Partikel/1000)</f>
        <v>1.125</v>
      </c>
      <c r="D36" s="65" t="s">
        <v>150</v>
      </c>
      <c r="E36" s="125"/>
      <c r="F36" s="125"/>
    </row>
    <row r="37" spans="1:6" ht="14.4" thickBot="1" x14ac:dyDescent="0.3">
      <c r="B37" s="64" t="s">
        <v>91</v>
      </c>
      <c r="C37" s="280">
        <f>SUM(C34:C36)</f>
        <v>3225.8249999999998</v>
      </c>
      <c r="D37" s="64" t="s">
        <v>150</v>
      </c>
      <c r="E37" s="125"/>
      <c r="F37" s="125"/>
    </row>
    <row r="38" spans="1:6" ht="14.4" thickTop="1" x14ac:dyDescent="0.25">
      <c r="B38" s="14"/>
      <c r="D38" s="2"/>
      <c r="E38" s="125"/>
      <c r="F38" s="125"/>
    </row>
    <row r="39" spans="1:6" x14ac:dyDescent="0.25">
      <c r="B39" s="60" t="s">
        <v>155</v>
      </c>
      <c r="C39" s="145" t="str">
        <f>CONCATENATE("Energieträger: ",Energie2,IF(Antriebsart2="Plug-In-Hybrid (PHEV)","+Strom",""))</f>
        <v>Energieträger: Diesel</v>
      </c>
      <c r="D39" s="60"/>
      <c r="E39" s="125"/>
      <c r="F39" s="125"/>
    </row>
    <row r="40" spans="1:6" ht="16.2" x14ac:dyDescent="0.35">
      <c r="B40" s="1" t="s">
        <v>152</v>
      </c>
      <c r="C40" s="279">
        <f>IFERROR(IF(Antriebsart2="Vollelektrisch (BEV)",VLOOKUP("Strom",CO2List,3,FALSE)*VerbEl_WLTP2/100*Fahrleistung/1000000,IF(Antriebsart2="Verbrenner",VLOOKUP(Energie2,CO2List,3,FALSE)*Verbrauch2/100*Fahrleistung/1000000,VLOOKUP(Energie2,CO2List,3,FALSE)*VerbPHEV2/100*Fahrleistung/1000000+VLOOKUP("Strom",CO2List,3,FALSE)*VerbElPHEV2/100*Fahrleistung/1000000)),0)</f>
        <v>1.1852381548800002</v>
      </c>
      <c r="D40" s="2" t="s">
        <v>153</v>
      </c>
      <c r="E40" s="125"/>
      <c r="F40" s="125"/>
    </row>
    <row r="41" spans="1:6" x14ac:dyDescent="0.25">
      <c r="B41" s="1" t="s">
        <v>156</v>
      </c>
      <c r="C41" s="279">
        <f>C40*Kost_THG</f>
        <v>1019.3048131968002</v>
      </c>
      <c r="D41" s="2" t="s">
        <v>150</v>
      </c>
      <c r="E41" s="125"/>
      <c r="F41" s="125"/>
    </row>
    <row r="42" spans="1:6" x14ac:dyDescent="0.25">
      <c r="E42" s="125"/>
      <c r="F42" s="125"/>
    </row>
    <row r="43" spans="1:6" x14ac:dyDescent="0.25">
      <c r="B43" s="154" t="s">
        <v>157</v>
      </c>
      <c r="C43" s="3"/>
      <c r="D43" s="3"/>
      <c r="E43" s="125"/>
      <c r="F43" s="125"/>
    </row>
    <row r="44" spans="1:6" x14ac:dyDescent="0.25">
      <c r="B44" s="66"/>
      <c r="C44" s="66"/>
      <c r="D44" s="66"/>
      <c r="E44" s="125"/>
      <c r="F44" s="125"/>
    </row>
    <row r="45" spans="1:6" s="67" customFormat="1" x14ac:dyDescent="0.25">
      <c r="A45" s="107"/>
      <c r="B45" s="90" t="s">
        <v>158</v>
      </c>
      <c r="C45" s="134" t="s">
        <v>159</v>
      </c>
      <c r="D45" s="62"/>
      <c r="E45" s="125"/>
      <c r="F45" s="125"/>
    </row>
    <row r="46" spans="1:6" s="67" customFormat="1" ht="16.2" x14ac:dyDescent="0.25">
      <c r="A46" s="404" t="s">
        <v>11</v>
      </c>
      <c r="B46" s="468" t="s">
        <v>152</v>
      </c>
      <c r="C46" s="281">
        <f>IF(OR(Antriebsart2="Vollelektrisch (BEV)",Antriebsart2="Plug-In-Hybrid (PHEV)"),Batterie2*Batterie_THG/1000,0)</f>
        <v>0</v>
      </c>
      <c r="D46" s="131" t="s">
        <v>160</v>
      </c>
      <c r="E46" s="127"/>
      <c r="F46" s="125"/>
    </row>
    <row r="47" spans="1:6" s="67" customFormat="1" ht="16.2" x14ac:dyDescent="0.25">
      <c r="A47" s="404"/>
      <c r="B47" s="469"/>
      <c r="C47" s="281">
        <f>IF((Fahrleistung*16)&lt;220000,C46*10^6/(Fahrleistung*16),C46*10^6/220000)</f>
        <v>0</v>
      </c>
      <c r="D47" s="130" t="s">
        <v>161</v>
      </c>
      <c r="E47" s="127"/>
      <c r="F47" s="125"/>
    </row>
    <row r="48" spans="1:6" x14ac:dyDescent="0.25">
      <c r="B48" s="1" t="s">
        <v>162</v>
      </c>
      <c r="C48" s="279">
        <f>IF(C47*Fahrleistung/10^6*Haltedauer&lt;C46, C47*Fahrleistung/10^6*Kost_THG, C46/Haltedauer*Kost_THG)</f>
        <v>0</v>
      </c>
      <c r="D48" s="2" t="s">
        <v>150</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163</v>
      </c>
    </row>
    <row r="54" spans="1:6" s="70" customFormat="1" ht="14.4" x14ac:dyDescent="0.3">
      <c r="A54" s="1"/>
      <c r="B54" s="68" t="s">
        <v>164</v>
      </c>
      <c r="C54" s="282">
        <f>IF(FinArt="Kauf",IF(KaufpreisRech="Kaufpreis",Gesamtpreis2,0),Gesamtpreis2*Haltedauer*12+IF(FinArt="Leasing",LeasSondZahl2,0))</f>
        <v>0</v>
      </c>
      <c r="D54" s="68" t="s">
        <v>65</v>
      </c>
      <c r="E54" s="69"/>
      <c r="F54" s="58"/>
    </row>
    <row r="55" spans="1:6" s="71" customFormat="1" ht="14.4" x14ac:dyDescent="0.25">
      <c r="A55" s="305" t="s">
        <v>11</v>
      </c>
      <c r="B55" s="1" t="s">
        <v>439</v>
      </c>
      <c r="C55" s="283">
        <f>IF(AND(KaufpreisRech="Wertminderung",FinArt="Kauf"),Gesamtpreis2-Gesamtpreis2*(-0.2*LN(Haltedauer)+0.667),0)</f>
        <v>25515.413295254653</v>
      </c>
      <c r="D55" s="1" t="s">
        <v>65</v>
      </c>
      <c r="E55" s="125"/>
      <c r="F55" s="73"/>
    </row>
    <row r="56" spans="1:6" x14ac:dyDescent="0.25">
      <c r="B56" s="1" t="s">
        <v>87</v>
      </c>
      <c r="C56" s="283">
        <f>C30*Haltedauer</f>
        <v>16678.2</v>
      </c>
      <c r="D56" s="1" t="s">
        <v>65</v>
      </c>
      <c r="F56" s="73"/>
    </row>
    <row r="57" spans="1:6" x14ac:dyDescent="0.25">
      <c r="B57" s="1" t="s">
        <v>165</v>
      </c>
      <c r="C57" s="283">
        <f>C37*Haltedauer</f>
        <v>22580.774999999998</v>
      </c>
      <c r="D57" s="1" t="s">
        <v>65</v>
      </c>
      <c r="F57" s="58"/>
    </row>
    <row r="58" spans="1:6" x14ac:dyDescent="0.25">
      <c r="B58" s="1" t="s">
        <v>156</v>
      </c>
      <c r="C58" s="283">
        <f>C41*Haltedauer</f>
        <v>7135.1336923776016</v>
      </c>
      <c r="D58" s="1" t="s">
        <v>65</v>
      </c>
      <c r="F58" s="58"/>
    </row>
    <row r="59" spans="1:6" x14ac:dyDescent="0.25">
      <c r="B59" s="329" t="s">
        <v>90</v>
      </c>
      <c r="C59" s="330">
        <f>C48*Haltedauer</f>
        <v>0</v>
      </c>
      <c r="D59" s="329" t="s">
        <v>65</v>
      </c>
      <c r="F59" s="147"/>
    </row>
    <row r="60" spans="1:6" x14ac:dyDescent="0.25">
      <c r="A60" s="404" t="s">
        <v>11</v>
      </c>
      <c r="B60" s="327" t="str">
        <f>IF(ISBLANK(Zusatzangabe_x), "", Zusatzangabe_x)</f>
        <v>Kfz-Steuer</v>
      </c>
      <c r="C60" s="328">
        <f>IF(ISBLANK(Zusatzangabe_x), "", Zusatzangabe_x2*Haltedauer)</f>
        <v>952</v>
      </c>
      <c r="D60" s="327" t="str">
        <f>IF(ISBLANK(Zusatzangabe_x), "", "EUR")</f>
        <v>EUR</v>
      </c>
      <c r="F60" s="147"/>
    </row>
    <row r="61" spans="1:6" x14ac:dyDescent="0.25">
      <c r="A61" s="404"/>
      <c r="B61" s="327" t="str">
        <f>IF(ISBLANK(Zusatzangabe_y), "", Zusatzangabe_y)</f>
        <v/>
      </c>
      <c r="C61" s="328" t="str">
        <f>IF(ISBLANK(Zusatzangabe_y), "", Zusatzangabe_y2*Haltedauer)</f>
        <v/>
      </c>
      <c r="D61" s="327" t="str">
        <f>IF(ISBLANK(Zusatzangabe_y), "", "EUR")</f>
        <v/>
      </c>
      <c r="F61" s="147"/>
    </row>
    <row r="62" spans="1:6" x14ac:dyDescent="0.25">
      <c r="A62" s="404"/>
      <c r="B62" s="327" t="str">
        <f>IF(ISBLANK(Zusatzangabe_z), "", Zusatzangabe_z)</f>
        <v/>
      </c>
      <c r="C62" s="328" t="str">
        <f>IF(ISBLANK(Zusatzangabe_z), "", Zusatzangabe_z2*Haltedauer)</f>
        <v/>
      </c>
      <c r="D62" s="327" t="str">
        <f>IF(ISBLANK(Zusatzangabe_z), "", "EUR")</f>
        <v/>
      </c>
      <c r="F62" s="147"/>
    </row>
    <row r="63" spans="1:6" ht="14.4" thickBot="1" x14ac:dyDescent="0.3">
      <c r="B63" s="64" t="s">
        <v>91</v>
      </c>
      <c r="C63" s="284">
        <f>SUM(C54:C62)</f>
        <v>72861.521987632252</v>
      </c>
      <c r="D63" s="64" t="s">
        <v>65</v>
      </c>
      <c r="E63" s="14"/>
      <c r="F63" s="58"/>
    </row>
    <row r="64" spans="1:6" s="59" customFormat="1" ht="14.4" thickTop="1" x14ac:dyDescent="0.25">
      <c r="A64" s="1"/>
      <c r="B64" s="1"/>
      <c r="C64" s="10"/>
      <c r="D64" s="1"/>
      <c r="E64" s="14"/>
      <c r="F64" s="1"/>
    </row>
    <row r="65" spans="2:5" ht="16.2" x14ac:dyDescent="0.35">
      <c r="B65" s="68" t="s">
        <v>166</v>
      </c>
      <c r="C65" s="285">
        <f>IF(C47*Fahrleistung/10^6*Haltedauer&lt;C46, C47*Fahrleistung/10^6*Haltedauer, C46)</f>
        <v>0</v>
      </c>
      <c r="D65" s="68" t="s">
        <v>167</v>
      </c>
    </row>
    <row r="66" spans="2:5" ht="16.2" x14ac:dyDescent="0.35">
      <c r="B66" s="72" t="s">
        <v>96</v>
      </c>
      <c r="C66" s="286">
        <f>C33*Haltedauer+C40*Haltedauer</f>
        <v>34.371667084160002</v>
      </c>
      <c r="D66" s="72" t="s">
        <v>167</v>
      </c>
      <c r="E66" s="71"/>
    </row>
  </sheetData>
  <sheetProtection sheet="1" objects="1" scenarios="1"/>
  <mergeCells count="5">
    <mergeCell ref="A46:A47"/>
    <mergeCell ref="B46:B47"/>
    <mergeCell ref="B22:B23"/>
    <mergeCell ref="A22:A23"/>
    <mergeCell ref="A60:A62"/>
  </mergeCells>
  <conditionalFormatting sqref="A16:D23">
    <cfRule type="expression" dxfId="3" priority="3">
      <formula>Antriebsart2&lt;&gt;"Plug-In-Hybrid (PHEV)"</formula>
    </cfRule>
  </conditionalFormatting>
  <hyperlinks>
    <hyperlink ref="E2" location="Anleitung!A1" display="zurück zu &quot;Anleitung&quot;" xr:uid="{00000000-0004-0000-0700-000000000000}"/>
  </hyperlinks>
  <pageMargins left="0.25" right="0.25" top="0.75" bottom="0.75" header="0.3" footer="0.3"/>
  <pageSetup paperSize="9" scale="8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1:6" x14ac:dyDescent="0.25">
      <c r="E1" s="125"/>
      <c r="F1" s="125"/>
    </row>
    <row r="2" spans="1:6" x14ac:dyDescent="0.25">
      <c r="B2" s="2" t="s">
        <v>436</v>
      </c>
      <c r="E2" s="106" t="s">
        <v>20</v>
      </c>
      <c r="F2" s="125"/>
    </row>
    <row r="3" spans="1:6" x14ac:dyDescent="0.25">
      <c r="E3" s="125"/>
      <c r="F3" s="125"/>
    </row>
    <row r="4" spans="1:6" x14ac:dyDescent="0.25">
      <c r="B4" s="154" t="s">
        <v>138</v>
      </c>
      <c r="C4" s="3"/>
      <c r="D4" s="3"/>
      <c r="E4" s="125"/>
      <c r="F4" s="125"/>
    </row>
    <row r="5" spans="1:6" x14ac:dyDescent="0.25">
      <c r="E5" s="125"/>
      <c r="F5" s="125" t="str">
        <f>IF(Antriebsart3="Vollelektrisch (BEV)","Strom","nicht verfügbar")</f>
        <v>nicht verfügbar</v>
      </c>
    </row>
    <row r="6" spans="1:6" x14ac:dyDescent="0.25">
      <c r="B6" s="2" t="s">
        <v>43</v>
      </c>
      <c r="C6" s="54">
        <v>3</v>
      </c>
      <c r="E6" s="125"/>
      <c r="F6" s="125" t="str">
        <f>IF(OR(Antriebsart3="Verbrenner",Antriebsart3="Plug-In-Hybrid (PHEV)"),"Diesel","nicht verfügbar")</f>
        <v>Diesel</v>
      </c>
    </row>
    <row r="7" spans="1:6" x14ac:dyDescent="0.25">
      <c r="B7" s="1" t="s">
        <v>52</v>
      </c>
      <c r="C7" s="102" t="str">
        <f>IF(Anbieter3=0,"",Anbieter3)</f>
        <v>C</v>
      </c>
      <c r="E7" s="125"/>
      <c r="F7" s="125" t="str">
        <f>IF(OR(Antriebsart3="Verbrenner",Antriebsart3="Plug-In-Hybrid (PHEV)"),"Benzin","nicht verfügbar")</f>
        <v>Benzin</v>
      </c>
    </row>
    <row r="8" spans="1:6" x14ac:dyDescent="0.25">
      <c r="C8" s="102"/>
      <c r="E8" s="125"/>
      <c r="F8" s="125" t="str">
        <f>IF(Antriebsart3="Verbrenner","Erdgas (CNG)","nicht verfügbar")</f>
        <v>Erdgas (CNG)</v>
      </c>
    </row>
    <row r="9" spans="1:6" x14ac:dyDescent="0.25">
      <c r="B9" s="2" t="s">
        <v>139</v>
      </c>
      <c r="C9" s="102"/>
      <c r="E9" s="125"/>
      <c r="F9" s="125"/>
    </row>
    <row r="10" spans="1:6" x14ac:dyDescent="0.25">
      <c r="B10" s="1" t="s">
        <v>140</v>
      </c>
      <c r="C10" s="102" t="str">
        <f>IF(Hersteller3=0,"",Hersteller3)</f>
        <v>Fiat</v>
      </c>
      <c r="D10" s="55"/>
      <c r="E10" s="125"/>
      <c r="F10" s="125"/>
    </row>
    <row r="11" spans="1:6" x14ac:dyDescent="0.25">
      <c r="B11" s="1" t="s">
        <v>60</v>
      </c>
      <c r="C11" s="102" t="str">
        <f>IF(Modell3=0,"",Modell3)</f>
        <v>Scudo</v>
      </c>
      <c r="D11" s="55"/>
      <c r="E11" s="125"/>
      <c r="F11" s="125"/>
    </row>
    <row r="12" spans="1:6" ht="43.95" customHeight="1" x14ac:dyDescent="0.25">
      <c r="B12" s="56" t="s">
        <v>141</v>
      </c>
      <c r="C12" s="102" t="str">
        <f>IF(Zusatzinfo3=0,"",Zusatzinfo3)</f>
        <v>Kastenwagen L2 2.0 Multijet 145</v>
      </c>
      <c r="D12" s="55"/>
      <c r="E12" s="125"/>
      <c r="F12" s="125"/>
    </row>
    <row r="13" spans="1:6" x14ac:dyDescent="0.25">
      <c r="B13" s="57" t="s">
        <v>44</v>
      </c>
      <c r="C13" s="102" t="str">
        <f>IF(Antriebsart3=0,"",Antriebsart3)</f>
        <v>Verbrenner</v>
      </c>
      <c r="E13" s="125"/>
      <c r="F13" s="125"/>
    </row>
    <row r="14" spans="1:6" x14ac:dyDescent="0.25">
      <c r="B14" s="2" t="s">
        <v>48</v>
      </c>
      <c r="C14" s="102" t="str">
        <f>IF(Energie3=0,"",Energie3)</f>
        <v>Diesel</v>
      </c>
      <c r="D14" s="88"/>
      <c r="E14" s="125"/>
      <c r="F14" s="125"/>
    </row>
    <row r="15" spans="1:6" s="125" customFormat="1" ht="14.4" x14ac:dyDescent="0.25">
      <c r="A15" s="126"/>
      <c r="C15" s="127"/>
    </row>
    <row r="16" spans="1:6" x14ac:dyDescent="0.25">
      <c r="B16" s="154" t="s">
        <v>142</v>
      </c>
      <c r="C16" s="3"/>
      <c r="D16" s="3"/>
      <c r="E16" s="125"/>
      <c r="F16" s="125"/>
    </row>
    <row r="17" spans="1:6" x14ac:dyDescent="0.25">
      <c r="B17" s="66"/>
      <c r="C17" s="66"/>
      <c r="D17" s="66"/>
      <c r="E17" s="125"/>
      <c r="F17" s="125"/>
    </row>
    <row r="18" spans="1:6" x14ac:dyDescent="0.25">
      <c r="B18" s="72" t="s">
        <v>143</v>
      </c>
      <c r="C18" s="288">
        <f>0.0057*(ReichwPHEV3/23)^3-0.0838*(ReichwPHEV3/23)^2+0.4261*(ReichwPHEV3/23)+ 0.1633</f>
        <v>0.1633</v>
      </c>
      <c r="D18" s="184"/>
      <c r="E18" s="125"/>
      <c r="F18" s="125"/>
    </row>
    <row r="19" spans="1:6" x14ac:dyDescent="0.25">
      <c r="B19" s="1" t="s">
        <v>144</v>
      </c>
      <c r="C19" s="289">
        <f>Verbrauch3/(1-0.9*C18)</f>
        <v>8.9094170193310909</v>
      </c>
      <c r="D19" s="7" t="s">
        <v>69</v>
      </c>
      <c r="E19" s="125"/>
      <c r="F19" s="125"/>
    </row>
    <row r="20" spans="1:6" x14ac:dyDescent="0.25">
      <c r="B20" s="72" t="s">
        <v>145</v>
      </c>
      <c r="C20" s="290">
        <f>VerbEl_WLTP3/C18</f>
        <v>0</v>
      </c>
      <c r="D20" s="184" t="s">
        <v>70</v>
      </c>
      <c r="E20" s="125"/>
      <c r="F20" s="125"/>
    </row>
    <row r="21" spans="1:6" x14ac:dyDescent="0.25">
      <c r="B21" s="186" t="s">
        <v>146</v>
      </c>
      <c r="C21" s="291">
        <f>0.0021*(ReichwPHEV3/23)^3-0.0358*(ReichwPHEV3/23)^2+0.2607*(ReichwPHEV3/23)- 0.0267</f>
        <v>-2.6700000000000002E-2</v>
      </c>
      <c r="D21" s="187"/>
      <c r="E21" s="125"/>
      <c r="F21" s="125"/>
    </row>
    <row r="22" spans="1:6" x14ac:dyDescent="0.25">
      <c r="A22" s="471" t="s">
        <v>11</v>
      </c>
      <c r="B22" s="470" t="s">
        <v>147</v>
      </c>
      <c r="C22" s="292">
        <f>C19*(1-0.9*C21)</f>
        <v>9.1235103103056172</v>
      </c>
      <c r="D22" s="185" t="s">
        <v>69</v>
      </c>
      <c r="E22" s="125"/>
      <c r="F22" s="125"/>
    </row>
    <row r="23" spans="1:6" x14ac:dyDescent="0.25">
      <c r="A23" s="471"/>
      <c r="B23" s="430"/>
      <c r="C23" s="292">
        <f>C20*C21</f>
        <v>0</v>
      </c>
      <c r="D23" s="183" t="s">
        <v>70</v>
      </c>
      <c r="E23" s="125"/>
      <c r="F23" s="125"/>
    </row>
    <row r="24" spans="1:6" s="125" customFormat="1" ht="14.4" x14ac:dyDescent="0.25">
      <c r="A24" s="126"/>
      <c r="C24" s="181"/>
      <c r="D24" s="7"/>
    </row>
    <row r="25" spans="1:6" x14ac:dyDescent="0.25">
      <c r="B25" s="154" t="s">
        <v>148</v>
      </c>
      <c r="C25" s="3"/>
      <c r="D25" s="3"/>
      <c r="E25" s="125"/>
      <c r="F25" s="125"/>
    </row>
    <row r="26" spans="1:6" x14ac:dyDescent="0.25">
      <c r="E26" s="125"/>
      <c r="F26" s="125"/>
    </row>
    <row r="27" spans="1:6" x14ac:dyDescent="0.25">
      <c r="B27" s="60" t="s">
        <v>87</v>
      </c>
      <c r="C27" s="61"/>
      <c r="D27" s="60"/>
      <c r="E27" s="125"/>
      <c r="F27" s="125"/>
    </row>
    <row r="28" spans="1:6" x14ac:dyDescent="0.25">
      <c r="B28" s="1" t="s">
        <v>149</v>
      </c>
      <c r="C28" s="279">
        <f>IF(Antriebsart3="Vollelektrisch (BEV)",0,IFERROR(VLOOKUP(Energie3,EnKostList,8,FALSE),0)*IF(Antriebsart3="Plug-In-Hybrid (PHEV)",VerbPHEV3,Verbrauch3)/100*Fahrleistung)</f>
        <v>3176.7999999999997</v>
      </c>
      <c r="D28" s="2" t="s">
        <v>150</v>
      </c>
      <c r="E28" s="125"/>
      <c r="F28" s="125"/>
    </row>
    <row r="29" spans="1:6" x14ac:dyDescent="0.25">
      <c r="B29" s="1" t="s">
        <v>49</v>
      </c>
      <c r="C29" s="279">
        <f>IF(Antriebsart3="Verbrenner",0,VLOOKUP("Strom",EnKostList,8,FALSE)*IF(Antriebsart3="Plug-In-Hybrid (PHEV)",VerbElPHEV3,VerbEl_WLTP3)/100*Fahrleistung)</f>
        <v>0</v>
      </c>
      <c r="D29" s="2" t="s">
        <v>150</v>
      </c>
      <c r="E29" s="125"/>
      <c r="F29" s="125"/>
    </row>
    <row r="30" spans="1:6" ht="14.4" thickBot="1" x14ac:dyDescent="0.3">
      <c r="B30" s="64" t="s">
        <v>91</v>
      </c>
      <c r="C30" s="280">
        <f>SUM(C28:C29)</f>
        <v>3176.7999999999997</v>
      </c>
      <c r="D30" s="64" t="s">
        <v>150</v>
      </c>
      <c r="E30" s="125"/>
      <c r="F30" s="125"/>
    </row>
    <row r="31" spans="1:6" ht="14.4" thickTop="1" x14ac:dyDescent="0.25">
      <c r="C31" s="10"/>
      <c r="D31" s="2"/>
      <c r="E31" s="125"/>
      <c r="F31" s="125"/>
    </row>
    <row r="32" spans="1:6" x14ac:dyDescent="0.25">
      <c r="B32" s="60" t="s">
        <v>151</v>
      </c>
      <c r="C32" s="145" t="str">
        <f>CONCATENATE("Energieträger: ",Energie3)</f>
        <v>Energieträger: Diesel</v>
      </c>
      <c r="D32" s="60"/>
      <c r="E32" s="125"/>
      <c r="F32" s="125"/>
    </row>
    <row r="33" spans="1:6" ht="16.2" x14ac:dyDescent="0.35">
      <c r="B33" s="1" t="s">
        <v>152</v>
      </c>
      <c r="C33" s="279">
        <f>IF(Antriebsart3="Plug-In-Hybrid (PHEV)",VerbPHEV3*VLOOKUP(Energie3,CO2List,2,FALSE)/100,CO2_3)*Fahrleistung/1000000</f>
        <v>4.95</v>
      </c>
      <c r="D33" s="2" t="s">
        <v>153</v>
      </c>
      <c r="E33" s="125"/>
      <c r="F33" s="125"/>
    </row>
    <row r="34" spans="1:6" x14ac:dyDescent="0.25">
      <c r="B34" s="1" t="s">
        <v>129</v>
      </c>
      <c r="C34" s="279">
        <f>C33*Kost_THG</f>
        <v>4257</v>
      </c>
      <c r="D34" s="2" t="s">
        <v>150</v>
      </c>
      <c r="E34" s="125"/>
      <c r="F34" s="125"/>
    </row>
    <row r="35" spans="1:6" x14ac:dyDescent="0.25">
      <c r="B35" s="7" t="s">
        <v>154</v>
      </c>
      <c r="C35" s="287">
        <f>IF(Energie3="Strom",0,NOX_3*Fahrleistung*Kost_NOX/1000)</f>
        <v>21.1</v>
      </c>
      <c r="D35" s="65" t="s">
        <v>150</v>
      </c>
      <c r="E35" s="125"/>
      <c r="F35" s="125"/>
    </row>
    <row r="36" spans="1:6" x14ac:dyDescent="0.25">
      <c r="B36" s="7" t="s">
        <v>75</v>
      </c>
      <c r="C36" s="287">
        <f>IF(Energie3="Strom",0,Partikel3*Fahrleistung*Kost_Partikel/1000)</f>
        <v>1.875</v>
      </c>
      <c r="D36" s="65" t="s">
        <v>150</v>
      </c>
      <c r="E36" s="125"/>
      <c r="F36" s="125"/>
    </row>
    <row r="37" spans="1:6" ht="14.4" thickBot="1" x14ac:dyDescent="0.3">
      <c r="B37" s="64" t="s">
        <v>91</v>
      </c>
      <c r="C37" s="280">
        <f>SUM(C34:C36)</f>
        <v>4279.9750000000004</v>
      </c>
      <c r="D37" s="64" t="s">
        <v>150</v>
      </c>
      <c r="E37" s="125"/>
      <c r="F37" s="125"/>
    </row>
    <row r="38" spans="1:6" ht="14.4" thickTop="1" x14ac:dyDescent="0.25">
      <c r="B38" s="14"/>
      <c r="D38" s="2"/>
      <c r="E38" s="125"/>
      <c r="F38" s="125"/>
    </row>
    <row r="39" spans="1:6" x14ac:dyDescent="0.25">
      <c r="B39" s="60" t="s">
        <v>155</v>
      </c>
      <c r="C39" s="145" t="str">
        <f>CONCATENATE("Energieträger: ",Energie3,IF(Antriebsart3="Plug-In-Hybrid (PHEV)","+Strom",""))</f>
        <v>Energieträger: Diesel</v>
      </c>
      <c r="D39" s="60"/>
      <c r="E39" s="125"/>
      <c r="F39" s="125"/>
    </row>
    <row r="40" spans="1:6" ht="16.2" x14ac:dyDescent="0.35">
      <c r="B40" s="1" t="s">
        <v>152</v>
      </c>
      <c r="C40" s="279">
        <f>IFERROR(IF(Antriebsart3="Vollelektrisch (BEV)",VLOOKUP("Strom",CO2List,3,FALSE)*VerbEl_WLTP3/100*Fahrleistung/1000000,IF(Antriebsart3="Verbrenner",VLOOKUP(Energie3,CO2List,3,FALSE)*Verbrauch3/100*Fahrleistung/1000000,VLOOKUP(Energie3,CO2List,3,FALSE)*VerbPHEV3/100*Fahrleistung/1000000+VLOOKUP("Strom",CO2List,3,FALSE)*VerbElPHEV3/100*Fahrleistung/1000000)),0)</f>
        <v>1.58031753984</v>
      </c>
      <c r="D40" s="2" t="s">
        <v>153</v>
      </c>
      <c r="E40" s="125"/>
      <c r="F40" s="125"/>
    </row>
    <row r="41" spans="1:6" x14ac:dyDescent="0.25">
      <c r="B41" s="1" t="s">
        <v>156</v>
      </c>
      <c r="C41" s="279">
        <f>C40*Kost_THG</f>
        <v>1359.0730842624</v>
      </c>
      <c r="D41" s="2" t="s">
        <v>150</v>
      </c>
      <c r="E41" s="125"/>
      <c r="F41" s="125"/>
    </row>
    <row r="42" spans="1:6" x14ac:dyDescent="0.25">
      <c r="E42" s="125"/>
      <c r="F42" s="125"/>
    </row>
    <row r="43" spans="1:6" x14ac:dyDescent="0.25">
      <c r="B43" s="154" t="s">
        <v>157</v>
      </c>
      <c r="C43" s="3"/>
      <c r="D43" s="3"/>
      <c r="E43" s="125"/>
      <c r="F43" s="125"/>
    </row>
    <row r="44" spans="1:6" x14ac:dyDescent="0.25">
      <c r="B44" s="66"/>
      <c r="C44" s="66"/>
      <c r="D44" s="66"/>
      <c r="E44" s="125"/>
      <c r="F44" s="125"/>
    </row>
    <row r="45" spans="1:6" s="67" customFormat="1" x14ac:dyDescent="0.25">
      <c r="A45" s="107"/>
      <c r="B45" s="90" t="s">
        <v>158</v>
      </c>
      <c r="C45" s="134" t="s">
        <v>159</v>
      </c>
      <c r="D45" s="62"/>
      <c r="E45" s="125"/>
      <c r="F45" s="125"/>
    </row>
    <row r="46" spans="1:6" s="67" customFormat="1" ht="16.2" x14ac:dyDescent="0.25">
      <c r="A46" s="404" t="s">
        <v>11</v>
      </c>
      <c r="B46" s="468" t="s">
        <v>152</v>
      </c>
      <c r="C46" s="281">
        <f>IF(OR(Antriebsart3="Vollelektrisch (BEV)",Antriebsart3="Plug-In-Hybrid (PHEV)"),Batterie3*Batterie_THG/1000,0)</f>
        <v>0</v>
      </c>
      <c r="D46" s="131" t="s">
        <v>160</v>
      </c>
      <c r="E46" s="127"/>
      <c r="F46" s="133"/>
    </row>
    <row r="47" spans="1:6" s="67" customFormat="1" ht="16.2" x14ac:dyDescent="0.25">
      <c r="A47" s="404"/>
      <c r="B47" s="469"/>
      <c r="C47" s="281">
        <f>IF((Fahrleistung*16)&lt;220000,C46*10^6/(Fahrleistung*16),C46*10^6/220000)</f>
        <v>0</v>
      </c>
      <c r="D47" s="130" t="s">
        <v>161</v>
      </c>
      <c r="E47" s="127"/>
      <c r="F47" s="133"/>
    </row>
    <row r="48" spans="1:6" x14ac:dyDescent="0.25">
      <c r="B48" s="1" t="s">
        <v>162</v>
      </c>
      <c r="C48" s="279">
        <f>IF(C47*Fahrleistung/10^6*Haltedauer&lt;C46, C47*Fahrleistung/10^6*Kost_THG, C46/Haltedauer*Kost_THG)</f>
        <v>0</v>
      </c>
      <c r="D48" s="2" t="s">
        <v>150</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163</v>
      </c>
    </row>
    <row r="54" spans="1:6" s="70" customFormat="1" ht="14.4" x14ac:dyDescent="0.3">
      <c r="A54" s="1"/>
      <c r="B54" s="68" t="s">
        <v>164</v>
      </c>
      <c r="C54" s="282">
        <f>IF(FinArt="Kauf",IF(KaufpreisRech="Kaufpreis",Gesamtpreis3,0),Gesamtpreis3*Haltedauer*12+IF(FinArt="Leasing",LeasSondZahl3,0))</f>
        <v>0</v>
      </c>
      <c r="D54" s="68" t="s">
        <v>65</v>
      </c>
      <c r="E54" s="69"/>
      <c r="F54" s="58"/>
    </row>
    <row r="55" spans="1:6" s="71" customFormat="1" ht="14.4" x14ac:dyDescent="0.25">
      <c r="A55" s="305" t="s">
        <v>11</v>
      </c>
      <c r="B55" s="1" t="s">
        <v>439</v>
      </c>
      <c r="C55" s="283">
        <f>IF(AND(KaufpreisRech="Wertminderung",FinArt="Kauf"),Gesamtpreis3-Gesamtpreis3*(-0.2*LN(Haltedauer)+0.667),0)</f>
        <v>25739.289724496084</v>
      </c>
      <c r="D55" s="1" t="s">
        <v>65</v>
      </c>
      <c r="E55" s="125"/>
      <c r="F55" s="73"/>
    </row>
    <row r="56" spans="1:6" x14ac:dyDescent="0.25">
      <c r="B56" s="1" t="s">
        <v>87</v>
      </c>
      <c r="C56" s="283">
        <f>C30*Haltedauer</f>
        <v>22237.599999999999</v>
      </c>
      <c r="D56" s="1" t="s">
        <v>65</v>
      </c>
      <c r="F56" s="73"/>
    </row>
    <row r="57" spans="1:6" x14ac:dyDescent="0.25">
      <c r="B57" s="1" t="s">
        <v>165</v>
      </c>
      <c r="C57" s="283">
        <f>C37*Haltedauer</f>
        <v>29959.825000000004</v>
      </c>
      <c r="D57" s="1" t="s">
        <v>65</v>
      </c>
      <c r="F57" s="58"/>
    </row>
    <row r="58" spans="1:6" x14ac:dyDescent="0.25">
      <c r="B58" s="1" t="s">
        <v>156</v>
      </c>
      <c r="C58" s="283">
        <f>C41*Haltedauer</f>
        <v>9513.5115898368003</v>
      </c>
      <c r="D58" s="1" t="s">
        <v>65</v>
      </c>
      <c r="F58" s="58"/>
    </row>
    <row r="59" spans="1:6" x14ac:dyDescent="0.25">
      <c r="B59" s="327" t="s">
        <v>90</v>
      </c>
      <c r="C59" s="328">
        <f>C48*Haltedauer</f>
        <v>0</v>
      </c>
      <c r="D59" s="327" t="s">
        <v>65</v>
      </c>
      <c r="F59" s="147"/>
    </row>
    <row r="60" spans="1:6" x14ac:dyDescent="0.25">
      <c r="A60" s="404" t="s">
        <v>11</v>
      </c>
      <c r="B60" s="327" t="str">
        <f>IF(ISBLANK(Zusatzangabe_x), "", Zusatzangabe_x)</f>
        <v>Kfz-Steuer</v>
      </c>
      <c r="C60" s="328">
        <f>IF(ISBLANK(Zusatzangabe_x), "", Zusatzangabe_x3*Haltedauer)</f>
        <v>1204</v>
      </c>
      <c r="D60" s="327" t="str">
        <f>IF(ISBLANK(Zusatzangabe_x), "", "EUR")</f>
        <v>EUR</v>
      </c>
      <c r="F60" s="147"/>
    </row>
    <row r="61" spans="1:6" x14ac:dyDescent="0.25">
      <c r="A61" s="404"/>
      <c r="B61" s="327" t="str">
        <f>IF(ISBLANK(Zusatzangabe_y), "", Zusatzangabe_y)</f>
        <v/>
      </c>
      <c r="C61" s="328" t="str">
        <f>IF(ISBLANK(Zusatzangabe_y), "", Zusatzangabe_y3*Haltedauer)</f>
        <v/>
      </c>
      <c r="D61" s="327" t="str">
        <f>IF(ISBLANK(Zusatzangabe_y), "", "EUR")</f>
        <v/>
      </c>
      <c r="F61" s="147"/>
    </row>
    <row r="62" spans="1:6" x14ac:dyDescent="0.25">
      <c r="A62" s="404"/>
      <c r="B62" s="327" t="str">
        <f>IF(ISBLANK(Zusatzangabe_z), "", Zusatzangabe_z)</f>
        <v/>
      </c>
      <c r="C62" s="328" t="str">
        <f>IF(ISBLANK(Zusatzangabe_z), "", Zusatzangabe_z3*Haltedauer)</f>
        <v/>
      </c>
      <c r="D62" s="327" t="str">
        <f>IF(ISBLANK(Zusatzangabe_z), "", "EUR")</f>
        <v/>
      </c>
      <c r="F62" s="147"/>
    </row>
    <row r="63" spans="1:6" ht="14.4" thickBot="1" x14ac:dyDescent="0.3">
      <c r="B63" s="64" t="s">
        <v>91</v>
      </c>
      <c r="C63" s="284">
        <f>SUM(C54:C62)</f>
        <v>88654.226314332889</v>
      </c>
      <c r="D63" s="64" t="s">
        <v>65</v>
      </c>
      <c r="E63" s="14"/>
      <c r="F63" s="58"/>
    </row>
    <row r="64" spans="1:6" s="59" customFormat="1" ht="14.4" thickTop="1" x14ac:dyDescent="0.25">
      <c r="A64" s="1"/>
      <c r="B64" s="1"/>
      <c r="C64" s="10"/>
      <c r="D64" s="1"/>
      <c r="E64" s="14"/>
      <c r="F64" s="1"/>
    </row>
    <row r="65" spans="2:5" ht="16.2" x14ac:dyDescent="0.35">
      <c r="B65" s="68" t="s">
        <v>166</v>
      </c>
      <c r="C65" s="285">
        <f>IF(C47*Fahrleistung/10^6*Haltedauer&lt;C46, C47*Fahrleistung/10^6*Haltedauer, C46)</f>
        <v>0</v>
      </c>
      <c r="D65" s="68" t="s">
        <v>167</v>
      </c>
    </row>
    <row r="66" spans="2:5" ht="16.2" x14ac:dyDescent="0.35">
      <c r="B66" s="72" t="s">
        <v>96</v>
      </c>
      <c r="C66" s="286">
        <f>C33*Haltedauer+C40*Haltedauer</f>
        <v>45.712222778879998</v>
      </c>
      <c r="D66" s="72" t="s">
        <v>167</v>
      </c>
      <c r="E66" s="71"/>
    </row>
  </sheetData>
  <sheetProtection sheet="1" objects="1" scenarios="1"/>
  <mergeCells count="5">
    <mergeCell ref="A46:A47"/>
    <mergeCell ref="B46:B47"/>
    <mergeCell ref="B22:B23"/>
    <mergeCell ref="A22:A23"/>
    <mergeCell ref="A60:A62"/>
  </mergeCells>
  <conditionalFormatting sqref="A16:D23">
    <cfRule type="expression" dxfId="2" priority="3">
      <formula>Antriebsart3&lt;&gt;"Plug-In-Hybrid (PHEV)"</formula>
    </cfRule>
  </conditionalFormatting>
  <hyperlinks>
    <hyperlink ref="E2" location="Anleitung!A1" display="zurück zu &quot;Anleitung&quot;" xr:uid="{00000000-0004-0000-0800-000000000000}"/>
  </hyperlinks>
  <pageMargins left="0.25" right="0.25" top="0.75" bottom="0.75" header="0.3" footer="0.3"/>
  <pageSetup paperSize="9" scale="91"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4EC2B1D245C948A7120CE5A36078F8" ma:contentTypeVersion="14" ma:contentTypeDescription="Ein neues Dokument erstellen." ma:contentTypeScope="" ma:versionID="4b87026bc8dcc7f3f10cc45b8239b46f">
  <xsd:schema xmlns:xsd="http://www.w3.org/2001/XMLSchema" xmlns:xs="http://www.w3.org/2001/XMLSchema" xmlns:p="http://schemas.microsoft.com/office/2006/metadata/properties" xmlns:ns2="5e4dc333-02c0-4d6f-a03d-d04a548a7be7" xmlns:ns3="6998d7be-1ad0-4716-9c60-ba76cfe9b1f3" targetNamespace="http://schemas.microsoft.com/office/2006/metadata/properties" ma:root="true" ma:fieldsID="b7f15f5ac45b0ba6c0c6284d6c06137b" ns2:_="" ns3:_="">
    <xsd:import namespace="5e4dc333-02c0-4d6f-a03d-d04a548a7be7"/>
    <xsd:import namespace="6998d7be-1ad0-4716-9c60-ba76cfe9b1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dc333-02c0-4d6f-a03d-d04a548a7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7c880037-8306-4d34-9a7c-4fa698df133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8d7be-1ad0-4716-9c60-ba76cfe9b1f3"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80429792-8a2b-42f5-9b3c-1813633e58a8}" ma:internalName="TaxCatchAll" ma:showField="CatchAllData" ma:web="6998d7be-1ad0-4716-9c60-ba76cfe9b1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998d7be-1ad0-4716-9c60-ba76cfe9b1f3" xsi:nil="true"/>
    <lcf76f155ced4ddcb4097134ff3c332f xmlns="5e4dc333-02c0-4d6f-a03d-d04a548a7be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2CFA85-B81D-4C7D-99B5-F82C00D97D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dc333-02c0-4d6f-a03d-d04a548a7be7"/>
    <ds:schemaRef ds:uri="6998d7be-1ad0-4716-9c60-ba76cfe9b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1615EB-DE44-4BF4-BD1E-846AB7A3DA36}">
  <ds:schemaRefs>
    <ds:schemaRef ds:uri="http://schemas.microsoft.com/office/2006/documentManagement/types"/>
    <ds:schemaRef ds:uri="6998d7be-1ad0-4716-9c60-ba76cfe9b1f3"/>
    <ds:schemaRef ds:uri="http://schemas.openxmlformats.org/package/2006/metadata/core-properties"/>
    <ds:schemaRef ds:uri="http://purl.org/dc/elements/1.1/"/>
    <ds:schemaRef ds:uri="http://schemas.microsoft.com/office/2006/metadata/properties"/>
    <ds:schemaRef ds:uri="5e4dc333-02c0-4d6f-a03d-d04a548a7be7"/>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92A2CDCF-36F6-4C30-8F9B-D45880CB8E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164</vt:i4>
      </vt:variant>
    </vt:vector>
  </HeadingPairs>
  <TitlesOfParts>
    <vt:vector size="179" baseType="lpstr">
      <vt:lpstr>Anleitung</vt:lpstr>
      <vt:lpstr>Input_Beschaffung</vt:lpstr>
      <vt:lpstr>Eingabe_Angebotswerte</vt:lpstr>
      <vt:lpstr>Ergebnisse_LZK</vt:lpstr>
      <vt:lpstr>Ergebnisse_Umweltkosten</vt:lpstr>
      <vt:lpstr>Grunddaten</vt:lpstr>
      <vt:lpstr>Erg.Fzg._1</vt:lpstr>
      <vt:lpstr>Erg.Fzg._2</vt:lpstr>
      <vt:lpstr>Erg.Fzg._3</vt:lpstr>
      <vt:lpstr>Erg.Fzg._4</vt:lpstr>
      <vt:lpstr>Erg.Fzg._5</vt:lpstr>
      <vt:lpstr>Emissionsfaktoren</vt:lpstr>
      <vt:lpstr>Doku</vt:lpstr>
      <vt:lpstr>Listen</vt:lpstr>
      <vt:lpstr>Quellen</vt:lpstr>
      <vt:lpstr>Anbieter1</vt:lpstr>
      <vt:lpstr>Anbieter2</vt:lpstr>
      <vt:lpstr>Anbieter3</vt:lpstr>
      <vt:lpstr>Anbieter4</vt:lpstr>
      <vt:lpstr>Anbieter5</vt:lpstr>
      <vt:lpstr>Anschaffungsjahr</vt:lpstr>
      <vt:lpstr>AntrArtList</vt:lpstr>
      <vt:lpstr>Antriebsart1</vt:lpstr>
      <vt:lpstr>Antriebsart2</vt:lpstr>
      <vt:lpstr>Antriebsart3</vt:lpstr>
      <vt:lpstr>Antriebsart4</vt:lpstr>
      <vt:lpstr>Antriebsart5</vt:lpstr>
      <vt:lpstr>Batterie_THG</vt:lpstr>
      <vt:lpstr>Batterie1</vt:lpstr>
      <vt:lpstr>Batterie2</vt:lpstr>
      <vt:lpstr>Batterie3</vt:lpstr>
      <vt:lpstr>Batterie4</vt:lpstr>
      <vt:lpstr>Batterie5</vt:lpstr>
      <vt:lpstr>CO2_1</vt:lpstr>
      <vt:lpstr>CO2_2</vt:lpstr>
      <vt:lpstr>CO2_3</vt:lpstr>
      <vt:lpstr>CO2_4</vt:lpstr>
      <vt:lpstr>CO2_5</vt:lpstr>
      <vt:lpstr>CO2List</vt:lpstr>
      <vt:lpstr>Datum</vt:lpstr>
      <vt:lpstr>Doku!Druckbereich</vt:lpstr>
      <vt:lpstr>Erg.Fzg._1!Druckbereich</vt:lpstr>
      <vt:lpstr>Erg.Fzg._2!Druckbereich</vt:lpstr>
      <vt:lpstr>Ergebnisse_LZK!Druckbereich</vt:lpstr>
      <vt:lpstr>Ergebnisse_Umweltkosten!Druckbereich</vt:lpstr>
      <vt:lpstr>Quellen!Druckbereich</vt:lpstr>
      <vt:lpstr>EnEinheitList</vt:lpstr>
      <vt:lpstr>Energie1</vt:lpstr>
      <vt:lpstr>Energie2</vt:lpstr>
      <vt:lpstr>Energie3</vt:lpstr>
      <vt:lpstr>Energie4</vt:lpstr>
      <vt:lpstr>Energie5</vt:lpstr>
      <vt:lpstr>EnKostList</vt:lpstr>
      <vt:lpstr>EnList1</vt:lpstr>
      <vt:lpstr>EnList2</vt:lpstr>
      <vt:lpstr>EnList3</vt:lpstr>
      <vt:lpstr>EnList4</vt:lpstr>
      <vt:lpstr>EnList5</vt:lpstr>
      <vt:lpstr>EnUmrechList</vt:lpstr>
      <vt:lpstr>Fahrleistung</vt:lpstr>
      <vt:lpstr>Fahrzeugklasse1</vt:lpstr>
      <vt:lpstr>Fahrzeugklasse2</vt:lpstr>
      <vt:lpstr>Fahrzeugklasse3</vt:lpstr>
      <vt:lpstr>Fahrzeugklasse4</vt:lpstr>
      <vt:lpstr>Fahrzeugklasse5</vt:lpstr>
      <vt:lpstr>FinArt</vt:lpstr>
      <vt:lpstr>FinArtList</vt:lpstr>
      <vt:lpstr>Gesamtpreis1</vt:lpstr>
      <vt:lpstr>Gesamtpreis2</vt:lpstr>
      <vt:lpstr>Gesamtpreis3</vt:lpstr>
      <vt:lpstr>Gesamtpreis4</vt:lpstr>
      <vt:lpstr>Gesamtpreis5</vt:lpstr>
      <vt:lpstr>Haltedauer</vt:lpstr>
      <vt:lpstr>Hersteller1</vt:lpstr>
      <vt:lpstr>Hersteller2</vt:lpstr>
      <vt:lpstr>Hersteller3</vt:lpstr>
      <vt:lpstr>Hersteller4</vt:lpstr>
      <vt:lpstr>Hersteller5</vt:lpstr>
      <vt:lpstr>KaufpreisRech</vt:lpstr>
      <vt:lpstr>KaufpreisRechList</vt:lpstr>
      <vt:lpstr>Kost_NOX</vt:lpstr>
      <vt:lpstr>Kost_Partikel</vt:lpstr>
      <vt:lpstr>Kost_THG</vt:lpstr>
      <vt:lpstr>KostTHGList</vt:lpstr>
      <vt:lpstr>KostTHGVorgabe</vt:lpstr>
      <vt:lpstr>Laderaum</vt:lpstr>
      <vt:lpstr>LeasSondZahl1</vt:lpstr>
      <vt:lpstr>LeasSondZahl2</vt:lpstr>
      <vt:lpstr>LeasSondZahl3</vt:lpstr>
      <vt:lpstr>LeasSondZahl4</vt:lpstr>
      <vt:lpstr>LeasSondZahl5</vt:lpstr>
      <vt:lpstr>max_Verbrauch_PHEV_kWh</vt:lpstr>
      <vt:lpstr>max_Verbrauch_PHEV_l</vt:lpstr>
      <vt:lpstr>max_Verbrauch_Verbrenner</vt:lpstr>
      <vt:lpstr>maxCO2_1000kg</vt:lpstr>
      <vt:lpstr>maxCO2_1300kg</vt:lpstr>
      <vt:lpstr>maxCO2_700kg</vt:lpstr>
      <vt:lpstr>maxCO2_größer1300kg</vt:lpstr>
      <vt:lpstr>maxCO2_Laderaum</vt:lpstr>
      <vt:lpstr>maxCO2PHEV</vt:lpstr>
      <vt:lpstr>maxkWh_1000kg</vt:lpstr>
      <vt:lpstr>maxkWh_700kg</vt:lpstr>
      <vt:lpstr>maxkWh_größer1000kg</vt:lpstr>
      <vt:lpstr>maxkWh_Laderaum</vt:lpstr>
      <vt:lpstr>maxNOX_N1I</vt:lpstr>
      <vt:lpstr>maxNOX_N1II</vt:lpstr>
      <vt:lpstr>maxNOX_N1III</vt:lpstr>
      <vt:lpstr>maxPM</vt:lpstr>
      <vt:lpstr>minReichwPHEV</vt:lpstr>
      <vt:lpstr>Modell1</vt:lpstr>
      <vt:lpstr>Modell2</vt:lpstr>
      <vt:lpstr>Modell3</vt:lpstr>
      <vt:lpstr>Modell4</vt:lpstr>
      <vt:lpstr>Modell5</vt:lpstr>
      <vt:lpstr>N1I</vt:lpstr>
      <vt:lpstr>N1II</vt:lpstr>
      <vt:lpstr>N1III</vt:lpstr>
      <vt:lpstr>NOX_1</vt:lpstr>
      <vt:lpstr>NOX_2</vt:lpstr>
      <vt:lpstr>NOX_3</vt:lpstr>
      <vt:lpstr>NOX_4</vt:lpstr>
      <vt:lpstr>NOX_5</vt:lpstr>
      <vt:lpstr>Partikel1</vt:lpstr>
      <vt:lpstr>Partikel2</vt:lpstr>
      <vt:lpstr>Partikel3</vt:lpstr>
      <vt:lpstr>Partikel4</vt:lpstr>
      <vt:lpstr>Partikel5</vt:lpstr>
      <vt:lpstr>Projektname</vt:lpstr>
      <vt:lpstr>ReichwPHEV1</vt:lpstr>
      <vt:lpstr>ReichwPHEV2</vt:lpstr>
      <vt:lpstr>ReichwPHEV3</vt:lpstr>
      <vt:lpstr>ReichwPHEV4</vt:lpstr>
      <vt:lpstr>ReichwPHEV5</vt:lpstr>
      <vt:lpstr>Unternehmen</vt:lpstr>
      <vt:lpstr>VerbEl_WLTP1</vt:lpstr>
      <vt:lpstr>VerbEl_WLTP2</vt:lpstr>
      <vt:lpstr>VerbEl_WLTP3</vt:lpstr>
      <vt:lpstr>VerbEl_WLTP4</vt:lpstr>
      <vt:lpstr>VerbEl_WLTP5</vt:lpstr>
      <vt:lpstr>VerbElPHEV1</vt:lpstr>
      <vt:lpstr>VerbElPHEV2</vt:lpstr>
      <vt:lpstr>VerbElPHEV3</vt:lpstr>
      <vt:lpstr>VerbElPHEV4</vt:lpstr>
      <vt:lpstr>VerbElPHEV5</vt:lpstr>
      <vt:lpstr>VerbPHEV1</vt:lpstr>
      <vt:lpstr>VerbPHEV2</vt:lpstr>
      <vt:lpstr>VerbPHEV3</vt:lpstr>
      <vt:lpstr>VerbPHEV4</vt:lpstr>
      <vt:lpstr>VerbPHEV5</vt:lpstr>
      <vt:lpstr>Verbrauch1</vt:lpstr>
      <vt:lpstr>Verbrauch2</vt:lpstr>
      <vt:lpstr>Verbrauch3</vt:lpstr>
      <vt:lpstr>Verbrauch4</vt:lpstr>
      <vt:lpstr>Verbrauch5</vt:lpstr>
      <vt:lpstr>Zuladung</vt:lpstr>
      <vt:lpstr>Zusatzangabe_x</vt:lpstr>
      <vt:lpstr>Zusatzangabe_x1</vt:lpstr>
      <vt:lpstr>Zusatzangabe_x2</vt:lpstr>
      <vt:lpstr>Zusatzangabe_x3</vt:lpstr>
      <vt:lpstr>Zusatzangabe_x4</vt:lpstr>
      <vt:lpstr>Zusatzangabe_x5</vt:lpstr>
      <vt:lpstr>Zusatzangabe_y</vt:lpstr>
      <vt:lpstr>Zusatzangabe_y1</vt:lpstr>
      <vt:lpstr>Zusatzangabe_y2</vt:lpstr>
      <vt:lpstr>Zusatzangabe_y3</vt:lpstr>
      <vt:lpstr>Zusatzangabe_y4</vt:lpstr>
      <vt:lpstr>Zusatzangabe_y5</vt:lpstr>
      <vt:lpstr>Zusatzangabe_z</vt:lpstr>
      <vt:lpstr>Zusatzangabe_z1</vt:lpstr>
      <vt:lpstr>Zusatzangabe_z2</vt:lpstr>
      <vt:lpstr>Zusatzangabe_z3</vt:lpstr>
      <vt:lpstr>Zusatzangabe_z4</vt:lpstr>
      <vt:lpstr>Zusatzangabe_z5</vt:lpstr>
      <vt:lpstr>Zusatzinfo1</vt:lpstr>
      <vt:lpstr>Zusatzinfo2</vt:lpstr>
      <vt:lpstr>Zusatzinfo3</vt:lpstr>
      <vt:lpstr>Zusatzinfo4</vt:lpstr>
      <vt:lpstr>Zusatzinfo5</vt:lpstr>
      <vt:lpstr>Zustaendig</vt:lpstr>
    </vt:vector>
  </TitlesOfParts>
  <Manager/>
  <Company>IFEU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ifeu</dc:creator>
  <cp:keywords/>
  <dc:description/>
  <cp:lastModifiedBy>Julia Pelzeter</cp:lastModifiedBy>
  <cp:revision/>
  <cp:lastPrinted>2024-10-01T11:40:38Z</cp:lastPrinted>
  <dcterms:created xsi:type="dcterms:W3CDTF">2022-09-15T12:00:20Z</dcterms:created>
  <dcterms:modified xsi:type="dcterms:W3CDTF">2024-12-03T16:46:03Z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0x0101006A4EC2B1D245C948A7120CE5A36078F8</vt:lpwstr>
  </property>
  <property fmtid="{D5CDD505-2E9C-101B-9397-08002B2CF9AE}" pid="3" name="MediaServiceImageTags">
    <vt:lpwstr/>
  </property>
</Properties>
</file>